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gern\Documents\Calculators\"/>
    </mc:Choice>
  </mc:AlternateContent>
  <bookViews>
    <workbookView xWindow="0" yWindow="0" windowWidth="23820" windowHeight="12150" activeTab="1"/>
  </bookViews>
  <sheets>
    <sheet name="Chart1" sheetId="3" r:id="rId1"/>
    <sheet name="Calculator, Lock bore to Cutout" sheetId="1" r:id="rId2"/>
  </sheets>
  <definedNames>
    <definedName name="_xlnm.Print_Area" localSheetId="1">'Calculator, Lock bore to Cutout'!$A$1:$G$48</definedName>
  </definedNames>
  <calcPr calcId="152511"/>
</workbook>
</file>

<file path=xl/calcChain.xml><?xml version="1.0" encoding="utf-8"?>
<calcChain xmlns="http://schemas.openxmlformats.org/spreadsheetml/2006/main">
  <c r="A14" i="1" l="1"/>
  <c r="D36" i="1"/>
  <c r="A24" i="1" l="1"/>
  <c r="B36" i="1" l="1"/>
  <c r="A36" i="1" l="1"/>
  <c r="A47" i="1"/>
  <c r="M2" i="1" l="1"/>
  <c r="M3" i="1"/>
  <c r="M4" i="1"/>
  <c r="M6" i="1"/>
  <c r="M8" i="1"/>
  <c r="E9" i="1"/>
  <c r="M14" i="1"/>
  <c r="M13" i="1"/>
  <c r="K7" i="1"/>
  <c r="M7" i="1" s="1"/>
  <c r="E34" i="1" l="1"/>
  <c r="M42" i="1" l="1"/>
  <c r="M43" i="1"/>
  <c r="O6" i="1" l="1"/>
  <c r="O7" i="1"/>
  <c r="O8" i="1"/>
  <c r="M1" i="1" l="1"/>
  <c r="E7" i="1" l="1"/>
  <c r="E8" i="1"/>
  <c r="E19" i="1" l="1"/>
  <c r="E18" i="1"/>
  <c r="E10" i="1" l="1"/>
  <c r="E6" i="1"/>
  <c r="E11" i="1"/>
  <c r="E14" i="1"/>
  <c r="E15" i="1"/>
  <c r="M5" i="1" l="1"/>
  <c r="M9" i="1"/>
  <c r="M15" i="1" s="1"/>
  <c r="M11" i="1" l="1"/>
  <c r="M23" i="1"/>
  <c r="O9" i="1"/>
  <c r="M32" i="1"/>
  <c r="M41" i="1" s="1"/>
  <c r="M19" i="1"/>
  <c r="C21" i="1"/>
  <c r="M17" i="1"/>
  <c r="M10" i="1"/>
  <c r="M28" i="1"/>
  <c r="O19" i="1" l="1"/>
  <c r="O39" i="1" s="1"/>
  <c r="O11" i="1"/>
  <c r="O36" i="1" s="1"/>
  <c r="O17" i="1"/>
  <c r="O14" i="1"/>
  <c r="O37" i="1" s="1"/>
  <c r="O10" i="1"/>
  <c r="O32" i="1" s="1"/>
  <c r="O13" i="1"/>
  <c r="O33" i="1" s="1"/>
  <c r="O18" i="1"/>
  <c r="O35" i="1" s="1"/>
  <c r="O15" i="1"/>
  <c r="O34" i="1" s="1"/>
  <c r="B39" i="1"/>
  <c r="D39" i="1" s="1"/>
  <c r="B44" i="1"/>
  <c r="D44" i="1" s="1"/>
  <c r="O38" i="1"/>
  <c r="M29" i="1"/>
  <c r="O30" i="1"/>
  <c r="P30" i="1" s="1"/>
  <c r="A20" i="1" l="1"/>
  <c r="M22" i="1"/>
  <c r="O29" i="1"/>
  <c r="P29" i="1" s="1"/>
  <c r="M27" i="1"/>
  <c r="M25" i="1" s="1"/>
  <c r="O42" i="1"/>
  <c r="B41" i="1" s="1"/>
  <c r="O43" i="1"/>
  <c r="M18" i="1"/>
  <c r="A16" i="1" l="1"/>
  <c r="E39" i="1"/>
  <c r="D41" i="1" s="1"/>
  <c r="E44" i="1"/>
  <c r="D46" i="1" s="1"/>
  <c r="E30" i="1"/>
  <c r="D30" i="1" s="1"/>
  <c r="E25" i="1"/>
  <c r="D25" i="1" s="1"/>
  <c r="H46" i="1"/>
  <c r="H41" i="1"/>
  <c r="C41" i="1" s="1"/>
  <c r="H39" i="1"/>
  <c r="E41" i="1" l="1"/>
  <c r="F40" i="1"/>
  <c r="E46" i="1"/>
  <c r="D27" i="1"/>
  <c r="H32" i="1"/>
  <c r="E27" i="1" s="1"/>
  <c r="H27" i="1"/>
  <c r="E32" i="1" s="1"/>
  <c r="D32" i="1"/>
  <c r="H37" i="1"/>
  <c r="H38" i="1" s="1"/>
  <c r="E21" i="1"/>
  <c r="B46" i="1" l="1"/>
  <c r="F46" i="1" s="1"/>
  <c r="C22" i="1"/>
  <c r="H22" i="1" l="1"/>
  <c r="E22" i="1" s="1"/>
  <c r="D22" i="1"/>
  <c r="H35" i="1"/>
  <c r="H36" i="1"/>
  <c r="C46" i="1"/>
</calcChain>
</file>

<file path=xl/sharedStrings.xml><?xml version="1.0" encoding="utf-8"?>
<sst xmlns="http://schemas.openxmlformats.org/spreadsheetml/2006/main" count="212" uniqueCount="194">
  <si>
    <t>Lite Length</t>
  </si>
  <si>
    <t>Top Rail</t>
  </si>
  <si>
    <t>Lock Stile</t>
  </si>
  <si>
    <t>Lock Location</t>
  </si>
  <si>
    <t>a =</t>
  </si>
  <si>
    <t>c=sqrt(a^2+b^2)</t>
  </si>
  <si>
    <t>r=hole/2</t>
  </si>
  <si>
    <t>c =</t>
  </si>
  <si>
    <t>backset</t>
  </si>
  <si>
    <t>LL=</t>
  </si>
  <si>
    <t>d=</t>
  </si>
  <si>
    <t>bs=</t>
  </si>
  <si>
    <t>Ls=</t>
  </si>
  <si>
    <t>lock_d=</t>
  </si>
  <si>
    <t>tr=</t>
  </si>
  <si>
    <t>DECIMAL</t>
  </si>
  <si>
    <t>a=lock_d-bl</t>
  </si>
  <si>
    <t>L16</t>
  </si>
  <si>
    <t xml:space="preserve">Lock Stile </t>
  </si>
  <si>
    <t xml:space="preserve">Fraction </t>
  </si>
  <si>
    <t>Lite Cutout Length</t>
  </si>
  <si>
    <t>Door Frame Length</t>
  </si>
  <si>
    <t xml:space="preserve">Lite Cutout to Bore CL </t>
  </si>
  <si>
    <t>Door frame length</t>
  </si>
  <si>
    <t>Inches</t>
  </si>
  <si>
    <t>ADA Visible Lite Compliance AFF</t>
  </si>
  <si>
    <t>TEXT(A1,"0"&amp;IF(ABS(A1-ROUND(A1,0))&gt;1/16," 0/"&amp;CHOOSE(ROUND(MOD(A1,1)*8,0),8,4,8,2,8,4,8),""))</t>
  </si>
  <si>
    <t>TEXT(A1,"0"&amp;IF(ABS(A1-ROUND(A1,0))&gt;1/32," 0/"&amp;CHOOSE(ROUND(MOD(A1,1)*16,0),16,8,16,4,16,8,16,2,16,8,16,4,16,8,16),""))&amp;""""</t>
  </si>
  <si>
    <t>TEXT(E21,"0" &amp;IF(ABS(E21-ROUND(E21,0))&gt;1/64, " 0/"&amp;CHOOSE(MATCH(MIN(ABS(ROUND(E21*{2,4,8,16,32},0)-E21*{2,4,8,16,32})/{2,4,8,16,32}),ABS(ROUND(E21*{2,4,8,16,32},0)-E21*{2,4,8,16,32})/{2,4,8,16,32},0),2,4,8,16,32),""))&amp;""""</t>
  </si>
  <si>
    <t>MORTISE</t>
  </si>
  <si>
    <t>161 CYL</t>
  </si>
  <si>
    <t>Mortise Lock (86)</t>
  </si>
  <si>
    <t xml:space="preserve">   Lock Backset </t>
  </si>
  <si>
    <t xml:space="preserve">   Face Bore Hole Size</t>
  </si>
  <si>
    <t xml:space="preserve">   Pocket Depth</t>
  </si>
  <si>
    <t xml:space="preserve">   Pocket Length</t>
  </si>
  <si>
    <t>or</t>
  </si>
  <si>
    <t>Lock Centerline (Cyl &amp; Mort)</t>
  </si>
  <si>
    <t>Visible Lite Loc.</t>
  </si>
  <si>
    <t>Pocket Corner to cutout edge</t>
  </si>
  <si>
    <t>dM=</t>
  </si>
  <si>
    <t>x=</t>
  </si>
  <si>
    <t>y=</t>
  </si>
  <si>
    <t>19</t>
  </si>
  <si>
    <t>14</t>
  </si>
  <si>
    <t>13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</si>
  <si>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</si>
  <si>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</si>
  <si>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</si>
  <si>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</si>
  <si>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</si>
  <si>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</si>
  <si>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</si>
  <si>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</si>
  <si>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</si>
  <si>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</si>
  <si>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</si>
  <si>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M13</t>
  </si>
  <si>
    <t>M14</t>
  </si>
  <si>
    <t>M15</t>
  </si>
  <si>
    <t>M19</t>
  </si>
  <si>
    <t>M21</t>
  </si>
  <si>
    <t>M22</t>
  </si>
  <si>
    <t>M23</t>
  </si>
  <si>
    <t>M24</t>
  </si>
  <si>
    <t>M27</t>
  </si>
  <si>
    <t>M28</t>
  </si>
  <si>
    <t>M29</t>
  </si>
  <si>
    <t>Bore Edge to Cutout Edge</t>
  </si>
  <si>
    <t>b=</t>
  </si>
  <si>
    <t>IF($M$24="Can't Machine Cutout","",IF($M$24&gt;$M$21,"(Too High)",IF(($M$2-$M$5)&lt;10,"(Too Low)","")))</t>
  </si>
  <si>
    <t>Too High</t>
  </si>
  <si>
    <t>Too Low</t>
  </si>
  <si>
    <t>IF(AND(I37&gt;0,(M2-C21)&gt;10),TEXT(I37,"0" &amp;IF(ABS(I37-ROUND(I37,0))&gt;1/64, " 0/"&amp;CHOOSE(MATCH(MIN(ABS(ROUND(I37*{2,4,8,16,32},0)-I37*{2,4,8,16,32})/{2,4,8,16,32}),ABS(ROUND(I37*{2,4,8,16,32},0)-I37*{2,4,8,16,32})/{2,4,8,16,32},0),2,4,8,16,32),""))&amp;"""","",If(b37="Non ADA - Too Low by",</t>
  </si>
  <si>
    <t>M17</t>
  </si>
  <si>
    <t>M18</t>
  </si>
  <si>
    <t>Door Length</t>
  </si>
  <si>
    <t xml:space="preserve">ENTER DOOR, LITE AND LOCK INFORMATION
</t>
  </si>
  <si>
    <t>PD=</t>
  </si>
  <si>
    <t>PL=</t>
  </si>
  <si>
    <t>TE=</t>
  </si>
  <si>
    <t>DL=</t>
  </si>
  <si>
    <t>DFL</t>
  </si>
  <si>
    <t>M30</t>
  </si>
  <si>
    <t>M32</t>
  </si>
  <si>
    <t>M33</t>
  </si>
  <si>
    <t>M25</t>
  </si>
  <si>
    <t>M34</t>
  </si>
  <si>
    <t>M35</t>
  </si>
  <si>
    <t>Smooth Bottom height AFF with Metal L K.</t>
  </si>
  <si>
    <t>Smooth Bottom height AFF with Wood Lip Kit</t>
  </si>
  <si>
    <t>M36</t>
  </si>
  <si>
    <t>M37</t>
  </si>
  <si>
    <t>M38</t>
  </si>
  <si>
    <t>Smooth Bottom Rail with Appropriate Lit Kit</t>
  </si>
  <si>
    <t>M39</t>
  </si>
  <si>
    <t>MORTISE LOCK</t>
  </si>
  <si>
    <t>M41</t>
  </si>
  <si>
    <t>Mort Pocket Depth</t>
  </si>
  <si>
    <t>Mort Pocket Length</t>
  </si>
  <si>
    <t>Mort Pocket Top Edge</t>
  </si>
  <si>
    <t>Cutout Bottom, AFF =</t>
  </si>
  <si>
    <r>
      <rPr>
        <b/>
        <sz val="12"/>
        <color theme="1"/>
        <rFont val="Arial"/>
        <family val="2"/>
      </rPr>
      <t>TOD</t>
    </r>
    <r>
      <rPr>
        <sz val="12"/>
        <color theme="1"/>
        <rFont val="Arial"/>
        <family val="2"/>
      </rPr>
      <t>, bl =tr+LL</t>
    </r>
  </si>
  <si>
    <t>Cutout bottom TOD</t>
  </si>
  <si>
    <t>Smooth Bottom Rail Height</t>
  </si>
  <si>
    <t>Metal lite kit VISIBLE Glass AFF</t>
  </si>
  <si>
    <t>Wood Lip Lite Kit VISIBLE Glass AFF</t>
  </si>
  <si>
    <t>(IN THE YELLOW AREA)</t>
  </si>
  <si>
    <t>=</t>
  </si>
  <si>
    <t>LOCK CLEARANCE</t>
  </si>
  <si>
    <t>SMOOTH BOTTOM RAIL</t>
  </si>
  <si>
    <t>VISIBLE GLASS</t>
  </si>
  <si>
    <t>IF(M2-M5+1&lt;=0,"Can't Machine Cutout",M2-M5+M31-0.125)</t>
  </si>
  <si>
    <t>Smooth bottom of lite frame =</t>
  </si>
  <si>
    <t>hole =</t>
  </si>
  <si>
    <t>Cylindrical Lock(161, 160)</t>
  </si>
  <si>
    <t>CYLINDRICAL LOCK (161,160, etc.)</t>
  </si>
  <si>
    <t>Cylinder Bore (Hole) to Lite Cutout</t>
  </si>
  <si>
    <t>Mortise Pocket Edge to Lite Cutout</t>
  </si>
  <si>
    <t>IF(AND(B46="",B46="ADA Compliant"),TEXT(H46,"0"&amp;IF(ABS(H46-ROUND(H46,0))&gt;1/64," 0/"&amp;CHOOSE(MATCH(MIN(ABS(ROUND(H46*{2,4,8,16,32},0)-H46*{2,4,8,16,32})/{2,4,8,16,32}),ABS(ROUND(H46*{2,4,8,16,32},0)-H46*{2,4,8,16,32})/{2,4,8,16,32},0),2,4,8,16,32),""))&amp;"""","")</t>
  </si>
  <si>
    <t>Cutout Bottom Location TOD</t>
  </si>
  <si>
    <t>M42</t>
  </si>
  <si>
    <t>Wood Lip Lite Kit - Smooth Height AFF</t>
  </si>
  <si>
    <t>Flush Wood Lite Kit</t>
  </si>
  <si>
    <t>Wood Lip Lit Kit</t>
  </si>
  <si>
    <t>Wood Lip Visible Compensation</t>
  </si>
  <si>
    <t>M43</t>
  </si>
  <si>
    <t>Air Louvers / Anemostat smooth  bottom compensation</t>
  </si>
  <si>
    <t>All Metal Stamping smooth bottom compensation</t>
  </si>
  <si>
    <t>Metal Lite Kit smooth bottom location compensation</t>
  </si>
  <si>
    <t>Flush Wood Lite Kit Visible Lite Compensation</t>
  </si>
  <si>
    <t>Air Louvers / Anemostat Visible Lite compensation</t>
  </si>
  <si>
    <t>All Metal Stamping visible lite compensation</t>
  </si>
  <si>
    <t>Metal Lite Kit visible edge to Bottom Cutout edge</t>
  </si>
  <si>
    <t>Flush Wood Lite Kit smooth bottom - same as cutout bottom</t>
  </si>
  <si>
    <t>Wood Lip lite Kit visible compensation</t>
  </si>
  <si>
    <t>Wood Lip Kit smooth bottom compensation (lip size)</t>
  </si>
  <si>
    <t>Airlouvers/Anemostat Visible Lite compensation</t>
  </si>
  <si>
    <t>Airlouvers/Anemostat Smooth Bottom Rail compensation</t>
  </si>
  <si>
    <t>All Metal Visible Lite compensation</t>
  </si>
  <si>
    <t>All Metal Smooth Bottom Rail compensation</t>
  </si>
  <si>
    <t>Wood Lip Width for Visible Lite compensation</t>
  </si>
  <si>
    <t>Wood Flush moulding Width - Visible Lite compensation</t>
  </si>
  <si>
    <t>Wood Lip Size for smooth bottom rail compensation</t>
  </si>
  <si>
    <t>Airlouvers/Anemostat Visible Lite Location AFF</t>
  </si>
  <si>
    <t>Airlouvers/Anemostat Smooth Bot Rail Loc AFF</t>
  </si>
  <si>
    <t>All Metal Visible Lite Location AFF</t>
  </si>
  <si>
    <t>All Metal Smooth Bot Rail Location AFF</t>
  </si>
  <si>
    <t>Wood Flush moulding Width - Visible Lite Location AFF</t>
  </si>
  <si>
    <t>Wood Lip Width -  Visible Lite Location AFF</t>
  </si>
  <si>
    <t>Cutout Bottom AFF</t>
  </si>
  <si>
    <t>Wood Flush moulding Smooth Bot AFF (same as CO Bottom)</t>
  </si>
  <si>
    <t xml:space="preserve">Wood Flush Lite Kit - Smooth Height AFF </t>
  </si>
  <si>
    <t>Air Louvers / Anem. - Smooth Height AFF</t>
  </si>
  <si>
    <t>Wood Lip Lite Kit - Visible Lite AFF</t>
  </si>
  <si>
    <t>Air Louvers / Anemostat - Visible Lite AFF</t>
  </si>
  <si>
    <t>All Metal Stamping - Visible Lite AFF</t>
  </si>
  <si>
    <t xml:space="preserve"> Flush Wood Lite Kit - Visible Lite AFF</t>
  </si>
  <si>
    <t>Wood Lip Size - smooth bot rail Height AFF</t>
  </si>
  <si>
    <t>All Metal Stamping - Smooth Height AFF</t>
  </si>
  <si>
    <t xml:space="preserve"> </t>
  </si>
  <si>
    <t>Adjusted smooth bot. loc. using selected type (D34), AFF</t>
  </si>
  <si>
    <t>Adjusted Visible Lite Bottom Location using (D34) AFF</t>
  </si>
  <si>
    <t>ADA Smooth Bottom Rail Compliance AFF</t>
  </si>
  <si>
    <t>IF(OR(E38="Can't Machine Cutout",E38=""),"","(43"" Max Height)")</t>
  </si>
  <si>
    <t>a11=1</t>
  </si>
  <si>
    <t>Mineral Core</t>
  </si>
  <si>
    <t>a11=2</t>
  </si>
  <si>
    <t>Agrifiber Core</t>
  </si>
  <si>
    <t>a11=3</t>
  </si>
  <si>
    <t>20 min with metal lite kit</t>
  </si>
  <si>
    <t>a11=4</t>
  </si>
  <si>
    <t>20 min with wood lite kit</t>
  </si>
  <si>
    <t>if(a11=1,</t>
  </si>
  <si>
    <t>20 min MLK</t>
  </si>
  <si>
    <t>if(a11=1,p29</t>
  </si>
  <si>
    <t>A11=O</t>
  </si>
  <si>
    <t>OFF</t>
  </si>
  <si>
    <t>Mortise</t>
  </si>
  <si>
    <t>Mineral Mort</t>
  </si>
  <si>
    <t>Mineral Cyl</t>
  </si>
  <si>
    <t>20 min Wood</t>
  </si>
  <si>
    <t>Agrifiber mort</t>
  </si>
  <si>
    <t>Agrifiber cyl</t>
  </si>
  <si>
    <t>IF(AND(A11=1,O29&gt;=O24),"GOOD     ","TOO CLOSE",IF(AND(A11=2,O29&gt;=O22),"GOOD     ","TOO CLOSE",IF(AND(A11=3,O29&gt;=O27),"GOOD     ","TOO CLOSE")))</t>
  </si>
  <si>
    <t>Fire Labeled Door: Spacing Check Cutout to Lock</t>
  </si>
  <si>
    <r>
      <rPr>
        <sz val="11"/>
        <color theme="1"/>
        <rFont val="Arial"/>
        <family val="2"/>
      </rPr>
      <t xml:space="preserve">NOTE: ADA Compliant if </t>
    </r>
    <r>
      <rPr>
        <sz val="11"/>
        <color rgb="FFC00000"/>
        <rFont val="Arial"/>
        <family val="2"/>
      </rPr>
      <t>bottom rail smooth height</t>
    </r>
    <r>
      <rPr>
        <sz val="11"/>
        <color theme="1"/>
        <rFont val="Arial"/>
        <family val="2"/>
      </rPr>
      <t xml:space="preserve"> is </t>
    </r>
    <r>
      <rPr>
        <sz val="11"/>
        <color rgb="FFC00000"/>
        <rFont val="Arial"/>
        <family val="2"/>
      </rPr>
      <t>10" or more</t>
    </r>
    <r>
      <rPr>
        <sz val="11"/>
        <color rgb="FFFF3300"/>
        <rFont val="Arial"/>
        <family val="2"/>
      </rPr>
      <t xml:space="preserve"> </t>
    </r>
    <r>
      <rPr>
        <sz val="11"/>
        <rFont val="Arial"/>
        <family val="2"/>
      </rPr>
      <t>AFF,</t>
    </r>
    <r>
      <rPr>
        <sz val="11"/>
        <color theme="1"/>
        <rFont val="Arial"/>
        <family val="2"/>
      </rPr>
      <t xml:space="preserve"> and </t>
    </r>
    <r>
      <rPr>
        <sz val="11"/>
        <color rgb="FFC00000"/>
        <rFont val="Arial"/>
        <family val="2"/>
      </rPr>
      <t>visible glass is</t>
    </r>
    <r>
      <rPr>
        <sz val="11"/>
        <color theme="1"/>
        <rFont val="Arial"/>
        <family val="2"/>
      </rPr>
      <t xml:space="preserve"> </t>
    </r>
    <r>
      <rPr>
        <sz val="11"/>
        <color rgb="FFC00000"/>
        <rFont val="Arial"/>
        <family val="2"/>
      </rPr>
      <t>43"</t>
    </r>
    <r>
      <rPr>
        <sz val="11"/>
        <color theme="1"/>
        <rFont val="Arial"/>
        <family val="2"/>
      </rPr>
      <t xml:space="preserve"> AFF or lower.</t>
    </r>
  </si>
  <si>
    <r>
      <t xml:space="preserve"> Agrifiber w/Metal LK = </t>
    </r>
    <r>
      <rPr>
        <b/>
        <sz val="12"/>
        <color theme="1"/>
        <rFont val="Arial"/>
        <family val="2"/>
      </rPr>
      <t>2</t>
    </r>
  </si>
  <si>
    <r>
      <t xml:space="preserve"> Spacing Check OFF =</t>
    </r>
    <r>
      <rPr>
        <b/>
        <sz val="12"/>
        <color theme="1"/>
        <rFont val="Arial"/>
        <family val="2"/>
      </rPr>
      <t xml:space="preserve"> 0</t>
    </r>
  </si>
  <si>
    <r>
      <t xml:space="preserve"> 20 Min w/Wood LK   = </t>
    </r>
    <r>
      <rPr>
        <b/>
        <sz val="12"/>
        <color theme="1"/>
        <rFont val="Arial"/>
        <family val="2"/>
      </rPr>
      <t>4</t>
    </r>
  </si>
  <si>
    <r>
      <t xml:space="preserve"> Mineral w/Metal LK   = </t>
    </r>
    <r>
      <rPr>
        <b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</t>
    </r>
  </si>
  <si>
    <r>
      <t xml:space="preserve"> 20 Min w/Metal LK    = </t>
    </r>
    <r>
      <rPr>
        <b/>
        <sz val="12"/>
        <color theme="1"/>
        <rFont val="Arial"/>
        <family val="2"/>
      </rPr>
      <t>3</t>
    </r>
  </si>
  <si>
    <r>
      <t xml:space="preserve"> </t>
    </r>
    <r>
      <rPr>
        <sz val="12"/>
        <rFont val="Arial"/>
        <family val="2"/>
      </rPr>
      <t xml:space="preserve">Anemostat/AirLouvers =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;  All Metal Stmp = </t>
    </r>
    <r>
      <rPr>
        <b/>
        <sz val="12"/>
        <rFont val="Arial"/>
        <family val="2"/>
      </rPr>
      <t>2;</t>
    </r>
    <r>
      <rPr>
        <sz val="12"/>
        <rFont val="Arial"/>
        <family val="2"/>
      </rPr>
      <t xml:space="preserve">  Wood Lip = </t>
    </r>
    <r>
      <rPr>
        <b/>
        <sz val="12"/>
        <rFont val="Arial"/>
        <family val="2"/>
      </rPr>
      <t>3</t>
    </r>
    <r>
      <rPr>
        <sz val="12"/>
        <rFont val="Arial"/>
        <family val="2"/>
      </rPr>
      <t xml:space="preserve">;  Flush Wood = </t>
    </r>
    <r>
      <rPr>
        <b/>
        <sz val="12"/>
        <rFont val="Arial"/>
        <family val="2"/>
      </rPr>
      <t>4</t>
    </r>
    <r>
      <rPr>
        <sz val="12"/>
        <rFont val="Arial"/>
        <family val="2"/>
      </rPr>
      <t xml:space="preserve"> </t>
    </r>
  </si>
  <si>
    <t xml:space="preserve">  Enter Lite Kit Type Number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</si>
</sst>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??/16"/>
    <numFmt numFmtId="165" formatCode="0.000"/>
  </numFmts>
  <fonts count="47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rgb="FF000000"/>
      <name val="Times New Roman"/>
      <family val="1"/>
    </font>
    <font>
      <sz val="12"/>
      <color rgb="FF000000"/>
      <name val="Arial"/>
      <family val="2"/>
    </font>
    <font>
      <sz val="14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C00000"/>
      <name val="Arial"/>
      <family val="2"/>
    </font>
    <font>
      <b/>
      <sz val="12"/>
      <color rgb="FFFF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rgb="FF000000"/>
      <name val="Arial"/>
      <family val="2"/>
    </font>
    <font>
      <sz val="11"/>
      <color rgb="FFFF3300"/>
      <name val="Arial"/>
      <family val="2"/>
    </font>
    <font>
      <b/>
      <sz val="14"/>
      <name val="Arial Narrow"/>
      <family val="2"/>
    </font>
    <font>
      <b/>
      <sz val="14"/>
      <color theme="6" tint="-0.249977111117893"/>
      <name val="Arial"/>
      <family val="2"/>
    </font>
    <font>
      <b/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AE9F6"/>
        <bgColor indexed="64"/>
      </patternFill>
    </fill>
    <fill>
      <patternFill patternType="solid">
        <fgColor rgb="FFEEF1F2"/>
        <bgColor indexed="64"/>
      </patternFill>
    </fill>
    <fill>
      <patternFill patternType="solid">
        <fgColor rgb="FFFFFED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C1A8"/>
        <bgColor indexed="64"/>
      </patternFill>
    </fill>
    <fill>
      <patternFill patternType="solid">
        <fgColor rgb="FFE8F4F8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thick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 style="double">
        <color auto="1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ck">
        <color auto="1"/>
      </right>
      <top style="thick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19" fillId="0" borderId="0" xfId="0" applyFont="1" applyProtection="1">
      <protection locked="0"/>
    </xf>
    <xf numFmtId="165" fontId="19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165" fontId="20" fillId="3" borderId="4" xfId="0" applyNumberFormat="1" applyFont="1" applyFill="1" applyBorder="1" applyAlignment="1" applyProtection="1">
      <alignment horizontal="right" vertical="center"/>
      <protection locked="0"/>
    </xf>
    <xf numFmtId="165" fontId="17" fillId="0" borderId="0" xfId="0" applyNumberFormat="1" applyFont="1" applyAlignment="1" applyProtection="1">
      <alignment horizontal="center" vertical="center"/>
      <protection locked="0"/>
    </xf>
    <xf numFmtId="165" fontId="27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20" fillId="3" borderId="36" xfId="0" applyFont="1" applyFill="1" applyBorder="1" applyAlignment="1" applyProtection="1">
      <alignment horizontal="center" vertical="center"/>
      <protection locked="0"/>
    </xf>
    <xf numFmtId="165" fontId="20" fillId="3" borderId="41" xfId="0" applyNumberFormat="1" applyFont="1" applyFill="1" applyBorder="1" applyProtection="1">
      <protection locked="0"/>
    </xf>
    <xf numFmtId="0" fontId="19" fillId="0" borderId="0" xfId="0" applyFont="1" applyAlignment="1" applyProtection="1">
      <alignment vertical="center"/>
    </xf>
    <xf numFmtId="0" fontId="20" fillId="8" borderId="15" xfId="0" applyFont="1" applyFill="1" applyBorder="1" applyAlignment="1" applyProtection="1">
      <alignment horizontal="center" vertical="center"/>
    </xf>
    <xf numFmtId="49" fontId="13" fillId="9" borderId="0" xfId="0" applyNumberFormat="1" applyFont="1" applyFill="1" applyBorder="1" applyAlignment="1" applyProtection="1">
      <alignment horizontal="right" vertical="center"/>
    </xf>
    <xf numFmtId="0" fontId="6" fillId="9" borderId="30" xfId="0" applyNumberFormat="1" applyFont="1" applyFill="1" applyBorder="1" applyAlignment="1" applyProtection="1">
      <alignment horizontal="right" vertical="center"/>
    </xf>
    <xf numFmtId="165" fontId="20" fillId="0" borderId="4" xfId="0" applyNumberFormat="1" applyFont="1" applyFill="1" applyBorder="1" applyAlignment="1" applyProtection="1">
      <alignment horizontal="right" vertical="center"/>
    </xf>
    <xf numFmtId="165" fontId="20" fillId="4" borderId="4" xfId="0" applyNumberFormat="1" applyFont="1" applyFill="1" applyBorder="1" applyAlignment="1" applyProtection="1">
      <alignment horizontal="right" vertical="center"/>
    </xf>
    <xf numFmtId="165" fontId="17" fillId="0" borderId="4" xfId="0" applyNumberFormat="1" applyFont="1" applyBorder="1" applyAlignment="1" applyProtection="1">
      <alignment horizontal="right" vertical="center"/>
    </xf>
    <xf numFmtId="165" fontId="17" fillId="0" borderId="29" xfId="0" applyNumberFormat="1" applyFont="1" applyBorder="1" applyAlignment="1" applyProtection="1">
      <alignment horizontal="right" vertical="center"/>
    </xf>
    <xf numFmtId="0" fontId="19" fillId="0" borderId="0" xfId="0" applyFont="1" applyProtection="1"/>
    <xf numFmtId="0" fontId="21" fillId="5" borderId="8" xfId="0" applyFont="1" applyFill="1" applyBorder="1" applyAlignment="1" applyProtection="1">
      <alignment horizontal="right"/>
    </xf>
    <xf numFmtId="0" fontId="21" fillId="5" borderId="14" xfId="0" applyFont="1" applyFill="1" applyBorder="1" applyAlignment="1" applyProtection="1">
      <alignment horizontal="right" vertical="center"/>
    </xf>
    <xf numFmtId="164" fontId="21" fillId="5" borderId="8" xfId="0" applyNumberFormat="1" applyFont="1" applyFill="1" applyBorder="1" applyAlignment="1" applyProtection="1">
      <alignment vertical="center"/>
    </xf>
    <xf numFmtId="0" fontId="19" fillId="0" borderId="0" xfId="0" applyFont="1" applyBorder="1" applyProtection="1"/>
    <xf numFmtId="0" fontId="19" fillId="0" borderId="6" xfId="0" applyFont="1" applyBorder="1" applyProtection="1"/>
    <xf numFmtId="0" fontId="32" fillId="6" borderId="28" xfId="0" applyFont="1" applyFill="1" applyBorder="1" applyAlignment="1" applyProtection="1">
      <alignment vertical="center"/>
    </xf>
    <xf numFmtId="0" fontId="32" fillId="6" borderId="39" xfId="0" applyFont="1" applyFill="1" applyBorder="1" applyAlignment="1" applyProtection="1">
      <alignment vertical="center"/>
    </xf>
    <xf numFmtId="0" fontId="21" fillId="11" borderId="1" xfId="0" applyFont="1" applyFill="1" applyBorder="1" applyAlignment="1" applyProtection="1">
      <alignment horizontal="center"/>
    </xf>
    <xf numFmtId="165" fontId="21" fillId="11" borderId="1" xfId="0" applyNumberFormat="1" applyFont="1" applyFill="1" applyBorder="1" applyAlignment="1" applyProtection="1">
      <alignment horizontal="left"/>
    </xf>
    <xf numFmtId="0" fontId="26" fillId="7" borderId="20" xfId="0" applyFont="1" applyFill="1" applyBorder="1" applyAlignment="1" applyProtection="1">
      <alignment horizontal="center" vertical="center"/>
    </xf>
    <xf numFmtId="0" fontId="26" fillId="7" borderId="18" xfId="0" applyFont="1" applyFill="1" applyBorder="1" applyAlignment="1" applyProtection="1">
      <alignment horizontal="center" vertical="center"/>
    </xf>
    <xf numFmtId="0" fontId="21" fillId="11" borderId="8" xfId="0" applyFont="1" applyFill="1" applyBorder="1" applyAlignment="1" applyProtection="1">
      <alignment horizontal="right" vertical="top"/>
    </xf>
    <xf numFmtId="164" fontId="21" fillId="11" borderId="32" xfId="0" applyNumberFormat="1" applyFont="1" applyFill="1" applyBorder="1" applyAlignment="1" applyProtection="1">
      <alignment horizontal="left" vertical="center"/>
    </xf>
    <xf numFmtId="0" fontId="20" fillId="0" borderId="5" xfId="0" applyFont="1" applyFill="1" applyBorder="1" applyAlignment="1" applyProtection="1">
      <alignment vertical="center"/>
    </xf>
    <xf numFmtId="0" fontId="20" fillId="0" borderId="17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vertical="center"/>
    </xf>
    <xf numFmtId="165" fontId="21" fillId="0" borderId="2" xfId="0" applyNumberFormat="1" applyFont="1" applyFill="1" applyBorder="1" applyAlignment="1" applyProtection="1">
      <alignment vertical="center"/>
    </xf>
    <xf numFmtId="0" fontId="21" fillId="10" borderId="1" xfId="0" applyFont="1" applyFill="1" applyBorder="1" applyAlignment="1" applyProtection="1">
      <alignment horizontal="center"/>
    </xf>
    <xf numFmtId="165" fontId="21" fillId="10" borderId="31" xfId="0" applyNumberFormat="1" applyFont="1" applyFill="1" applyBorder="1" applyAlignment="1" applyProtection="1">
      <alignment horizontal="left" vertical="center"/>
    </xf>
    <xf numFmtId="165" fontId="26" fillId="7" borderId="18" xfId="0" applyNumberFormat="1" applyFont="1" applyFill="1" applyBorder="1" applyAlignment="1" applyProtection="1">
      <alignment horizontal="center" vertical="center"/>
    </xf>
    <xf numFmtId="0" fontId="21" fillId="10" borderId="8" xfId="0" applyFont="1" applyFill="1" applyBorder="1" applyAlignment="1" applyProtection="1">
      <alignment horizontal="right" vertical="top"/>
    </xf>
    <xf numFmtId="164" fontId="21" fillId="10" borderId="32" xfId="0" applyNumberFormat="1" applyFont="1" applyFill="1" applyBorder="1" applyAlignment="1" applyProtection="1">
      <alignment horizontal="left" vertical="top"/>
    </xf>
    <xf numFmtId="0" fontId="21" fillId="10" borderId="0" xfId="0" applyFont="1" applyFill="1" applyBorder="1" applyAlignment="1" applyProtection="1">
      <alignment vertical="center"/>
    </xf>
    <xf numFmtId="165" fontId="21" fillId="10" borderId="2" xfId="0" applyNumberFormat="1" applyFont="1" applyFill="1" applyBorder="1" applyAlignment="1" applyProtection="1">
      <alignment vertical="center"/>
    </xf>
    <xf numFmtId="0" fontId="19" fillId="0" borderId="0" xfId="0" applyFont="1" applyAlignment="1" applyProtection="1">
      <alignment horizontal="right" vertical="center"/>
    </xf>
    <xf numFmtId="0" fontId="19" fillId="0" borderId="0" xfId="0" applyFont="1" applyAlignment="1" applyProtection="1"/>
    <xf numFmtId="0" fontId="11" fillId="0" borderId="0" xfId="0" applyFont="1" applyProtection="1"/>
    <xf numFmtId="165" fontId="19" fillId="0" borderId="0" xfId="0" applyNumberFormat="1" applyFont="1" applyProtection="1"/>
    <xf numFmtId="0" fontId="19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165" fontId="19" fillId="0" borderId="0" xfId="0" applyNumberFormat="1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/>
    </xf>
    <xf numFmtId="0" fontId="17" fillId="0" borderId="0" xfId="0" applyFont="1" applyProtection="1"/>
    <xf numFmtId="0" fontId="25" fillId="0" borderId="0" xfId="0" applyFont="1" applyProtection="1"/>
    <xf numFmtId="0" fontId="31" fillId="0" borderId="0" xfId="0" applyFont="1" applyFill="1" applyBorder="1" applyAlignment="1" applyProtection="1">
      <alignment horizontal="left" vertical="center" wrapText="1"/>
    </xf>
    <xf numFmtId="164" fontId="22" fillId="0" borderId="0" xfId="0" applyNumberFormat="1" applyFont="1" applyAlignment="1" applyProtection="1">
      <alignment horizontal="left" vertical="center"/>
    </xf>
    <xf numFmtId="164" fontId="22" fillId="0" borderId="0" xfId="0" applyNumberFormat="1" applyFont="1" applyAlignment="1" applyProtection="1">
      <alignment horizontal="center" vertical="center"/>
    </xf>
    <xf numFmtId="0" fontId="24" fillId="0" borderId="0" xfId="0" applyFont="1" applyProtection="1"/>
    <xf numFmtId="0" fontId="19" fillId="0" borderId="0" xfId="0" applyFont="1" applyAlignment="1" applyProtection="1">
      <alignment horizontal="left"/>
    </xf>
    <xf numFmtId="0" fontId="5" fillId="0" borderId="0" xfId="0" applyFont="1" applyProtection="1"/>
    <xf numFmtId="164" fontId="4" fillId="0" borderId="0" xfId="0" applyNumberFormat="1" applyFont="1" applyAlignment="1" applyProtection="1">
      <alignment horizontal="left" vertical="center"/>
    </xf>
    <xf numFmtId="0" fontId="19" fillId="0" borderId="0" xfId="0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vertical="center"/>
    </xf>
    <xf numFmtId="0" fontId="20" fillId="0" borderId="0" xfId="0" applyFont="1" applyProtection="1"/>
    <xf numFmtId="0" fontId="17" fillId="0" borderId="0" xfId="0" applyFont="1" applyAlignment="1" applyProtection="1">
      <alignment horizontal="left" vertical="center"/>
    </xf>
    <xf numFmtId="165" fontId="20" fillId="0" borderId="9" xfId="0" applyNumberFormat="1" applyFont="1" applyBorder="1" applyAlignment="1" applyProtection="1">
      <alignment horizontal="right" vertical="center"/>
    </xf>
    <xf numFmtId="165" fontId="20" fillId="0" borderId="9" xfId="0" applyNumberFormat="1" applyFont="1" applyBorder="1" applyAlignment="1" applyProtection="1">
      <alignment vertical="center"/>
    </xf>
    <xf numFmtId="0" fontId="19" fillId="0" borderId="0" xfId="0" applyFont="1" applyBorder="1" applyAlignment="1" applyProtection="1">
      <alignment horizontal="left" vertical="center"/>
    </xf>
    <xf numFmtId="165" fontId="19" fillId="0" borderId="9" xfId="0" applyNumberFormat="1" applyFont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165" fontId="19" fillId="0" borderId="2" xfId="0" applyNumberFormat="1" applyFont="1" applyBorder="1" applyAlignment="1" applyProtection="1">
      <alignment horizontal="left" vertical="center"/>
    </xf>
    <xf numFmtId="49" fontId="17" fillId="0" borderId="0" xfId="0" applyNumberFormat="1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left" vertical="center"/>
    </xf>
    <xf numFmtId="49" fontId="19" fillId="0" borderId="0" xfId="0" applyNumberFormat="1" applyFont="1" applyAlignment="1" applyProtection="1">
      <alignment horizontal="right" vertical="center"/>
    </xf>
    <xf numFmtId="0" fontId="15" fillId="0" borderId="0" xfId="0" applyFont="1" applyProtection="1"/>
    <xf numFmtId="0" fontId="17" fillId="0" borderId="9" xfId="0" applyFont="1" applyBorder="1" applyAlignment="1" applyProtection="1">
      <alignment horizontal="right" vertical="center"/>
    </xf>
    <xf numFmtId="0" fontId="19" fillId="0" borderId="9" xfId="0" applyFont="1" applyBorder="1" applyAlignment="1" applyProtection="1">
      <alignment vertical="center"/>
    </xf>
    <xf numFmtId="165" fontId="19" fillId="0" borderId="9" xfId="0" applyNumberFormat="1" applyFont="1" applyBorder="1" applyAlignment="1" applyProtection="1">
      <alignment vertical="center"/>
    </xf>
    <xf numFmtId="49" fontId="19" fillId="0" borderId="0" xfId="0" applyNumberFormat="1" applyFont="1" applyBorder="1" applyAlignment="1" applyProtection="1">
      <alignment horizontal="right" vertical="center"/>
    </xf>
    <xf numFmtId="165" fontId="17" fillId="0" borderId="9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right" vertical="center"/>
    </xf>
    <xf numFmtId="0" fontId="20" fillId="0" borderId="0" xfId="0" applyFont="1" applyBorder="1" applyAlignment="1" applyProtection="1">
      <alignment vertical="center"/>
    </xf>
    <xf numFmtId="165" fontId="19" fillId="0" borderId="0" xfId="0" applyNumberFormat="1" applyFont="1" applyAlignment="1" applyProtection="1">
      <alignment horizontal="center" vertical="center"/>
    </xf>
    <xf numFmtId="0" fontId="20" fillId="0" borderId="0" xfId="0" applyFont="1" applyAlignment="1" applyProtection="1">
      <alignment vertical="center"/>
    </xf>
    <xf numFmtId="165" fontId="19" fillId="0" borderId="9" xfId="0" applyNumberFormat="1" applyFont="1" applyBorder="1" applyAlignment="1" applyProtection="1">
      <alignment horizontal="center" vertical="center"/>
    </xf>
    <xf numFmtId="164" fontId="17" fillId="0" borderId="0" xfId="0" applyNumberFormat="1" applyFont="1" applyProtection="1"/>
    <xf numFmtId="0" fontId="20" fillId="0" borderId="0" xfId="0" applyFont="1" applyBorder="1" applyAlignment="1" applyProtection="1">
      <alignment horizontal="right"/>
    </xf>
    <xf numFmtId="0" fontId="20" fillId="0" borderId="0" xfId="0" applyFont="1" applyBorder="1" applyProtection="1"/>
    <xf numFmtId="0" fontId="18" fillId="0" borderId="0" xfId="0" applyFont="1" applyProtection="1"/>
    <xf numFmtId="165" fontId="19" fillId="0" borderId="0" xfId="0" applyNumberFormat="1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164" fontId="25" fillId="0" borderId="0" xfId="0" applyNumberFormat="1" applyFont="1" applyAlignment="1" applyProtection="1">
      <alignment horizontal="left" vertical="center"/>
    </xf>
    <xf numFmtId="0" fontId="11" fillId="0" borderId="0" xfId="0" applyFont="1" applyAlignment="1" applyProtection="1">
      <alignment horizontal="right" vertical="center"/>
    </xf>
    <xf numFmtId="0" fontId="18" fillId="0" borderId="0" xfId="0" applyFont="1" applyAlignment="1" applyProtection="1">
      <alignment vertical="top"/>
    </xf>
    <xf numFmtId="0" fontId="11" fillId="0" borderId="0" xfId="0" applyFont="1" applyAlignment="1" applyProtection="1">
      <alignment horizontal="left" vertical="center"/>
    </xf>
    <xf numFmtId="165" fontId="11" fillId="0" borderId="9" xfId="0" applyNumberFormat="1" applyFont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165" fontId="19" fillId="0" borderId="0" xfId="0" applyNumberFormat="1" applyFont="1" applyFill="1" applyBorder="1" applyAlignment="1" applyProtection="1">
      <alignment horizontal="left" vertical="center"/>
    </xf>
    <xf numFmtId="165" fontId="19" fillId="0" borderId="0" xfId="0" applyNumberFormat="1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165" fontId="11" fillId="0" borderId="0" xfId="0" applyNumberFormat="1" applyFont="1" applyBorder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165" fontId="28" fillId="0" borderId="22" xfId="0" applyNumberFormat="1" applyFont="1" applyBorder="1" applyAlignment="1" applyProtection="1">
      <alignment horizontal="center" vertical="center"/>
    </xf>
    <xf numFmtId="165" fontId="17" fillId="0" borderId="0" xfId="0" applyNumberFormat="1" applyFont="1" applyAlignment="1" applyProtection="1">
      <alignment horizontal="center" vertical="center"/>
    </xf>
    <xf numFmtId="165" fontId="27" fillId="0" borderId="0" xfId="0" applyNumberFormat="1" applyFont="1" applyBorder="1" applyAlignment="1" applyProtection="1">
      <alignment horizontal="center" vertical="center"/>
    </xf>
    <xf numFmtId="165" fontId="17" fillId="0" borderId="0" xfId="0" applyNumberFormat="1" applyFont="1" applyBorder="1" applyAlignment="1" applyProtection="1">
      <alignment horizontal="center" vertical="center"/>
    </xf>
    <xf numFmtId="165" fontId="27" fillId="0" borderId="22" xfId="0" applyNumberFormat="1" applyFont="1" applyBorder="1" applyAlignment="1" applyProtection="1">
      <alignment horizontal="center" vertical="center"/>
    </xf>
    <xf numFmtId="165" fontId="11" fillId="0" borderId="0" xfId="0" applyNumberFormat="1" applyFont="1" applyAlignment="1" applyProtection="1">
      <alignment horizontal="left" vertical="center"/>
    </xf>
    <xf numFmtId="165" fontId="27" fillId="0" borderId="38" xfId="0" applyNumberFormat="1" applyFont="1" applyBorder="1" applyAlignment="1" applyProtection="1">
      <alignment horizontal="center" vertical="center"/>
    </xf>
    <xf numFmtId="165" fontId="11" fillId="0" borderId="0" xfId="0" applyNumberFormat="1" applyFont="1" applyBorder="1" applyAlignment="1" applyProtection="1">
      <alignment horizontal="center" vertical="center"/>
    </xf>
    <xf numFmtId="0" fontId="11" fillId="0" borderId="37" xfId="0" applyFont="1" applyBorder="1" applyProtection="1"/>
    <xf numFmtId="0" fontId="19" fillId="0" borderId="37" xfId="0" applyFont="1" applyBorder="1" applyProtection="1"/>
    <xf numFmtId="165" fontId="17" fillId="0" borderId="0" xfId="0" applyNumberFormat="1" applyFont="1" applyBorder="1" applyAlignment="1" applyProtection="1">
      <alignment horizontal="center"/>
    </xf>
    <xf numFmtId="0" fontId="27" fillId="0" borderId="22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/>
    </xf>
    <xf numFmtId="165" fontId="15" fillId="0" borderId="0" xfId="0" applyNumberFormat="1" applyFont="1" applyBorder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165" fontId="7" fillId="0" borderId="0" xfId="0" applyNumberFormat="1" applyFont="1" applyBorder="1" applyAlignment="1" applyProtection="1">
      <alignment horizontal="center"/>
    </xf>
    <xf numFmtId="0" fontId="6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2" xfId="0" applyFont="1" applyBorder="1" applyAlignment="1" applyProtection="1">
      <alignment vertical="center"/>
    </xf>
    <xf numFmtId="165" fontId="7" fillId="0" borderId="0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/>
    <xf numFmtId="0" fontId="19" fillId="0" borderId="42" xfId="0" applyFont="1" applyBorder="1" applyAlignment="1" applyProtection="1"/>
    <xf numFmtId="0" fontId="13" fillId="0" borderId="42" xfId="0" applyFont="1" applyBorder="1" applyAlignment="1" applyProtection="1">
      <alignment vertical="center"/>
    </xf>
    <xf numFmtId="0" fontId="19" fillId="0" borderId="42" xfId="0" applyFont="1" applyBorder="1" applyProtection="1"/>
    <xf numFmtId="0" fontId="14" fillId="0" borderId="42" xfId="0" applyFont="1" applyBorder="1" applyAlignment="1" applyProtection="1">
      <alignment vertical="center"/>
    </xf>
    <xf numFmtId="165" fontId="13" fillId="0" borderId="0" xfId="0" applyNumberFormat="1" applyFont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165" fontId="6" fillId="0" borderId="0" xfId="0" applyNumberFormat="1" applyFont="1" applyBorder="1" applyAlignment="1" applyProtection="1">
      <alignment horizontal="center" vertical="center"/>
    </xf>
    <xf numFmtId="165" fontId="40" fillId="0" borderId="0" xfId="0" applyNumberFormat="1" applyFont="1" applyBorder="1" applyAlignment="1" applyProtection="1">
      <alignment horizontal="center" vertical="center"/>
    </xf>
    <xf numFmtId="0" fontId="40" fillId="0" borderId="0" xfId="0" applyFont="1" applyAlignment="1" applyProtection="1">
      <alignment horizontal="center" vertical="center"/>
    </xf>
    <xf numFmtId="49" fontId="6" fillId="0" borderId="0" xfId="0" applyNumberFormat="1" applyFont="1" applyAlignment="1" applyProtection="1">
      <alignment horizontal="left" vertical="center"/>
    </xf>
    <xf numFmtId="165" fontId="14" fillId="0" borderId="0" xfId="0" applyNumberFormat="1" applyFont="1" applyAlignment="1" applyProtection="1">
      <alignment horizontal="center" vertical="center"/>
    </xf>
    <xf numFmtId="165" fontId="12" fillId="0" borderId="0" xfId="0" applyNumberFormat="1" applyFont="1" applyAlignment="1" applyProtection="1">
      <alignment horizontal="center" vertical="center"/>
    </xf>
    <xf numFmtId="165" fontId="20" fillId="0" borderId="38" xfId="0" applyNumberFormat="1" applyFont="1" applyBorder="1" applyAlignment="1" applyProtection="1">
      <alignment horizontal="center" vertical="center"/>
    </xf>
    <xf numFmtId="165" fontId="27" fillId="0" borderId="0" xfId="0" applyNumberFormat="1" applyFont="1" applyAlignment="1" applyProtection="1">
      <alignment horizontal="center" vertical="center"/>
    </xf>
    <xf numFmtId="165" fontId="20" fillId="0" borderId="9" xfId="0" applyNumberFormat="1" applyFont="1" applyBorder="1" applyAlignment="1" applyProtection="1">
      <alignment horizontal="center" vertical="center"/>
    </xf>
    <xf numFmtId="165" fontId="27" fillId="0" borderId="0" xfId="0" applyNumberFormat="1" applyFont="1" applyAlignment="1" applyProtection="1">
      <alignment horizontal="left" vertical="center"/>
    </xf>
    <xf numFmtId="165" fontId="6" fillId="0" borderId="0" xfId="0" applyNumberFormat="1" applyFont="1" applyAlignment="1" applyProtection="1">
      <alignment horizontal="center" vertical="center"/>
    </xf>
    <xf numFmtId="0" fontId="25" fillId="0" borderId="41" xfId="0" applyFont="1" applyBorder="1" applyAlignment="1" applyProtection="1">
      <alignment vertical="center"/>
    </xf>
    <xf numFmtId="0" fontId="17" fillId="0" borderId="41" xfId="0" applyFont="1" applyBorder="1" applyAlignment="1" applyProtection="1">
      <alignment vertical="center"/>
    </xf>
    <xf numFmtId="0" fontId="25" fillId="4" borderId="41" xfId="0" applyFont="1" applyFill="1" applyBorder="1" applyProtection="1"/>
    <xf numFmtId="0" fontId="30" fillId="5" borderId="41" xfId="0" applyFont="1" applyFill="1" applyBorder="1" applyProtection="1"/>
    <xf numFmtId="0" fontId="25" fillId="5" borderId="41" xfId="0" applyFont="1" applyFill="1" applyBorder="1" applyAlignment="1" applyProtection="1">
      <alignment vertical="center"/>
    </xf>
    <xf numFmtId="0" fontId="25" fillId="4" borderId="41" xfId="0" applyFont="1" applyFill="1" applyBorder="1" applyAlignment="1" applyProtection="1">
      <alignment vertical="center"/>
    </xf>
    <xf numFmtId="0" fontId="30" fillId="2" borderId="41" xfId="0" applyFont="1" applyFill="1" applyBorder="1" applyAlignment="1" applyProtection="1">
      <alignment vertical="center"/>
    </xf>
    <xf numFmtId="0" fontId="25" fillId="2" borderId="41" xfId="0" applyFont="1" applyFill="1" applyBorder="1" applyAlignment="1" applyProtection="1">
      <alignment vertical="center"/>
    </xf>
    <xf numFmtId="0" fontId="25" fillId="0" borderId="40" xfId="0" applyFont="1" applyBorder="1" applyAlignment="1" applyProtection="1">
      <alignment vertical="center"/>
    </xf>
    <xf numFmtId="0" fontId="19" fillId="6" borderId="43" xfId="0" applyFont="1" applyFill="1" applyBorder="1" applyAlignment="1" applyProtection="1">
      <alignment vertical="center"/>
    </xf>
    <xf numFmtId="0" fontId="17" fillId="0" borderId="0" xfId="0" applyFont="1" applyBorder="1" applyProtection="1"/>
    <xf numFmtId="0" fontId="19" fillId="6" borderId="50" xfId="0" applyFont="1" applyFill="1" applyBorder="1" applyAlignment="1" applyProtection="1">
      <alignment vertical="center"/>
    </xf>
    <xf numFmtId="0" fontId="19" fillId="0" borderId="0" xfId="0" applyFont="1" applyAlignment="1" applyProtection="1"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1" fillId="5" borderId="8" xfId="0" applyFont="1" applyFill="1" applyBorder="1" applyProtection="1"/>
    <xf numFmtId="0" fontId="36" fillId="6" borderId="43" xfId="0" applyFont="1" applyFill="1" applyBorder="1" applyAlignment="1" applyProtection="1">
      <alignment horizontal="center" vertical="center"/>
    </xf>
    <xf numFmtId="0" fontId="11" fillId="6" borderId="46" xfId="0" applyFont="1" applyFill="1" applyBorder="1" applyAlignment="1" applyProtection="1">
      <alignment horizontal="right" vertical="center"/>
    </xf>
    <xf numFmtId="165" fontId="20" fillId="6" borderId="52" xfId="0" applyNumberFormat="1" applyFont="1" applyFill="1" applyBorder="1" applyAlignment="1" applyProtection="1">
      <alignment horizontal="right" vertical="center"/>
      <protection locked="0"/>
    </xf>
    <xf numFmtId="165" fontId="20" fillId="6" borderId="54" xfId="0" applyNumberFormat="1" applyFont="1" applyFill="1" applyBorder="1" applyAlignment="1" applyProtection="1">
      <alignment horizontal="right" vertical="center"/>
    </xf>
    <xf numFmtId="0" fontId="35" fillId="6" borderId="54" xfId="0" applyFont="1" applyFill="1" applyBorder="1" applyAlignment="1" applyProtection="1">
      <alignment horizontal="left" vertical="center"/>
    </xf>
    <xf numFmtId="0" fontId="19" fillId="6" borderId="54" xfId="0" applyFont="1" applyFill="1" applyBorder="1" applyAlignment="1" applyProtection="1">
      <alignment horizontal="right" vertical="center"/>
    </xf>
    <xf numFmtId="0" fontId="36" fillId="6" borderId="54" xfId="0" applyFont="1" applyFill="1" applyBorder="1" applyAlignment="1" applyProtection="1">
      <alignment horizontal="center"/>
    </xf>
    <xf numFmtId="165" fontId="33" fillId="6" borderId="54" xfId="0" applyNumberFormat="1" applyFont="1" applyFill="1" applyBorder="1" applyAlignment="1" applyProtection="1">
      <alignment horizontal="center" vertical="center"/>
    </xf>
    <xf numFmtId="0" fontId="32" fillId="6" borderId="59" xfId="0" applyFont="1" applyFill="1" applyBorder="1" applyAlignment="1" applyProtection="1">
      <alignment vertical="center"/>
    </xf>
    <xf numFmtId="0" fontId="19" fillId="11" borderId="57" xfId="0" applyFont="1" applyFill="1" applyBorder="1" applyProtection="1"/>
    <xf numFmtId="0" fontId="21" fillId="11" borderId="61" xfId="0" applyFont="1" applyFill="1" applyBorder="1" applyAlignment="1" applyProtection="1">
      <alignment vertical="center"/>
    </xf>
    <xf numFmtId="165" fontId="21" fillId="11" borderId="62" xfId="0" applyNumberFormat="1" applyFont="1" applyFill="1" applyBorder="1" applyAlignment="1" applyProtection="1">
      <alignment horizontal="left" vertical="center"/>
    </xf>
    <xf numFmtId="0" fontId="19" fillId="10" borderId="64" xfId="0" applyFont="1" applyFill="1" applyBorder="1" applyProtection="1"/>
    <xf numFmtId="165" fontId="21" fillId="10" borderId="60" xfId="0" applyNumberFormat="1" applyFont="1" applyFill="1" applyBorder="1" applyAlignment="1" applyProtection="1">
      <alignment horizontal="left" vertical="center"/>
    </xf>
    <xf numFmtId="0" fontId="21" fillId="10" borderId="60" xfId="0" applyFont="1" applyFill="1" applyBorder="1" applyAlignment="1" applyProtection="1">
      <alignment horizontal="left"/>
    </xf>
    <xf numFmtId="164" fontId="21" fillId="10" borderId="65" xfId="0" applyNumberFormat="1" applyFont="1" applyFill="1" applyBorder="1" applyAlignment="1" applyProtection="1">
      <alignment horizontal="left" vertical="center"/>
    </xf>
    <xf numFmtId="0" fontId="19" fillId="0" borderId="55" xfId="0" applyFont="1" applyBorder="1" applyProtection="1"/>
    <xf numFmtId="0" fontId="19" fillId="0" borderId="6" xfId="0" applyFont="1" applyBorder="1" applyAlignment="1" applyProtection="1">
      <alignment vertical="center"/>
    </xf>
    <xf numFmtId="164" fontId="19" fillId="0" borderId="6" xfId="0" applyNumberFormat="1" applyFont="1" applyBorder="1" applyAlignment="1" applyProtection="1">
      <alignment horizontal="left" vertical="center"/>
    </xf>
    <xf numFmtId="164" fontId="22" fillId="0" borderId="6" xfId="0" applyNumberFormat="1" applyFont="1" applyBorder="1" applyAlignment="1" applyProtection="1">
      <alignment horizontal="left" vertical="center"/>
    </xf>
    <xf numFmtId="0" fontId="24" fillId="0" borderId="6" xfId="0" applyFont="1" applyBorder="1" applyProtection="1"/>
    <xf numFmtId="0" fontId="19" fillId="0" borderId="6" xfId="0" applyFont="1" applyBorder="1" applyAlignment="1" applyProtection="1">
      <alignment horizontal="center" vertical="center"/>
    </xf>
    <xf numFmtId="165" fontId="23" fillId="0" borderId="6" xfId="0" applyNumberFormat="1" applyFont="1" applyFill="1" applyBorder="1" applyAlignment="1" applyProtection="1">
      <alignment horizontal="left"/>
    </xf>
    <xf numFmtId="0" fontId="19" fillId="0" borderId="6" xfId="0" applyFont="1" applyFill="1" applyBorder="1" applyProtection="1"/>
    <xf numFmtId="0" fontId="14" fillId="0" borderId="6" xfId="0" applyFont="1" applyBorder="1" applyProtection="1"/>
    <xf numFmtId="0" fontId="19" fillId="0" borderId="70" xfId="0" applyFont="1" applyBorder="1" applyAlignment="1" applyProtection="1">
      <alignment vertical="center"/>
    </xf>
    <xf numFmtId="0" fontId="19" fillId="0" borderId="17" xfId="0" applyFont="1" applyBorder="1" applyProtection="1"/>
    <xf numFmtId="0" fontId="19" fillId="0" borderId="71" xfId="0" applyFont="1" applyBorder="1" applyProtection="1"/>
    <xf numFmtId="0" fontId="17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5" fillId="0" borderId="0" xfId="0" applyFont="1" applyAlignment="1" applyProtection="1">
      <alignment horizontal="left" vertical="center"/>
      <protection locked="0"/>
    </xf>
    <xf numFmtId="165" fontId="19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right"/>
      <protection locked="0"/>
    </xf>
    <xf numFmtId="165" fontId="13" fillId="0" borderId="0" xfId="0" applyNumberFormat="1" applyFont="1" applyAlignment="1" applyProtection="1">
      <alignment horizontal="right" vertical="center"/>
      <protection locked="0"/>
    </xf>
    <xf numFmtId="0" fontId="7" fillId="6" borderId="48" xfId="0" applyFont="1" applyFill="1" applyBorder="1" applyAlignment="1" applyProtection="1">
      <alignment vertical="center"/>
    </xf>
    <xf numFmtId="0" fontId="19" fillId="0" borderId="60" xfId="0" applyFont="1" applyBorder="1" applyProtection="1"/>
    <xf numFmtId="0" fontId="19" fillId="0" borderId="63" xfId="0" applyFont="1" applyBorder="1" applyAlignment="1" applyProtection="1">
      <alignment vertical="center"/>
    </xf>
    <xf numFmtId="0" fontId="41" fillId="6" borderId="53" xfId="0" applyFont="1" applyFill="1" applyBorder="1" applyAlignment="1" applyProtection="1">
      <alignment horizontal="center" vertical="center"/>
    </xf>
    <xf numFmtId="0" fontId="19" fillId="0" borderId="72" xfId="0" applyFont="1" applyBorder="1" applyProtection="1"/>
    <xf numFmtId="0" fontId="20" fillId="10" borderId="7" xfId="0" applyFont="1" applyFill="1" applyBorder="1" applyAlignment="1" applyProtection="1">
      <alignment vertical="center"/>
    </xf>
    <xf numFmtId="0" fontId="20" fillId="10" borderId="8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wrapText="1"/>
    </xf>
    <xf numFmtId="0" fontId="25" fillId="9" borderId="60" xfId="0" applyFont="1" applyFill="1" applyBorder="1" applyAlignment="1" applyProtection="1">
      <alignment vertical="center"/>
    </xf>
    <xf numFmtId="0" fontId="19" fillId="9" borderId="60" xfId="0" applyFont="1" applyFill="1" applyBorder="1" applyProtection="1"/>
    <xf numFmtId="0" fontId="8" fillId="9" borderId="65" xfId="0" applyFont="1" applyFill="1" applyBorder="1" applyAlignment="1" applyProtection="1">
      <alignment vertical="center"/>
    </xf>
    <xf numFmtId="0" fontId="19" fillId="0" borderId="8" xfId="0" applyFont="1" applyBorder="1" applyAlignment="1" applyProtection="1">
      <alignment horizontal="center"/>
    </xf>
    <xf numFmtId="0" fontId="19" fillId="0" borderId="65" xfId="0" applyFont="1" applyBorder="1" applyProtection="1"/>
    <xf numFmtId="0" fontId="19" fillId="0" borderId="80" xfId="0" applyFont="1" applyBorder="1" applyProtection="1"/>
    <xf numFmtId="0" fontId="19" fillId="0" borderId="82" xfId="0" applyFont="1" applyBorder="1" applyProtection="1"/>
    <xf numFmtId="0" fontId="19" fillId="5" borderId="65" xfId="0" applyFont="1" applyFill="1" applyBorder="1" applyProtection="1"/>
    <xf numFmtId="0" fontId="19" fillId="2" borderId="83" xfId="0" applyFont="1" applyFill="1" applyBorder="1" applyProtection="1"/>
    <xf numFmtId="0" fontId="21" fillId="2" borderId="84" xfId="0" applyFont="1" applyFill="1" applyBorder="1" applyAlignment="1" applyProtection="1">
      <alignment horizontal="right" vertical="center"/>
    </xf>
    <xf numFmtId="164" fontId="21" fillId="2" borderId="82" xfId="0" applyNumberFormat="1" applyFont="1" applyFill="1" applyBorder="1" applyAlignment="1" applyProtection="1">
      <alignment horizontal="left" vertical="center"/>
    </xf>
    <xf numFmtId="0" fontId="19" fillId="2" borderId="81" xfId="0" applyFont="1" applyFill="1" applyBorder="1" applyProtection="1"/>
    <xf numFmtId="0" fontId="19" fillId="5" borderId="85" xfId="0" applyFont="1" applyFill="1" applyBorder="1" applyProtection="1"/>
    <xf numFmtId="0" fontId="21" fillId="2" borderId="80" xfId="0" applyFont="1" applyFill="1" applyBorder="1" applyProtection="1"/>
    <xf numFmtId="0" fontId="21" fillId="2" borderId="86" xfId="0" applyFont="1" applyFill="1" applyBorder="1" applyAlignment="1" applyProtection="1">
      <alignment horizontal="right"/>
    </xf>
    <xf numFmtId="0" fontId="44" fillId="6" borderId="87" xfId="0" applyFont="1" applyFill="1" applyBorder="1" applyAlignment="1" applyProtection="1">
      <alignment horizontal="center" vertical="center"/>
    </xf>
    <xf numFmtId="0" fontId="19" fillId="0" borderId="88" xfId="0" applyFont="1" applyBorder="1" applyProtection="1"/>
    <xf numFmtId="0" fontId="3" fillId="6" borderId="44" xfId="0" applyFont="1" applyFill="1" applyBorder="1" applyAlignment="1" applyProtection="1">
      <alignment vertical="center"/>
    </xf>
    <xf numFmtId="0" fontId="39" fillId="6" borderId="43" xfId="0" applyFont="1" applyFill="1" applyBorder="1" applyAlignment="1" applyProtection="1">
      <alignment vertical="center"/>
    </xf>
    <xf numFmtId="0" fontId="3" fillId="6" borderId="46" xfId="0" applyFont="1" applyFill="1" applyBorder="1" applyAlignment="1" applyProtection="1">
      <alignment vertical="center"/>
    </xf>
    <xf numFmtId="0" fontId="3" fillId="6" borderId="89" xfId="0" applyFont="1" applyFill="1" applyBorder="1" applyAlignment="1" applyProtection="1">
      <alignment vertical="center"/>
    </xf>
    <xf numFmtId="0" fontId="2" fillId="6" borderId="44" xfId="0" applyFont="1" applyFill="1" applyBorder="1" applyAlignment="1" applyProtection="1">
      <alignment horizontal="left" vertical="center"/>
    </xf>
    <xf numFmtId="0" fontId="2" fillId="6" borderId="44" xfId="0" applyFont="1" applyFill="1" applyBorder="1" applyAlignment="1" applyProtection="1">
      <alignment vertical="center"/>
    </xf>
    <xf numFmtId="0" fontId="2" fillId="6" borderId="45" xfId="0" applyFont="1" applyFill="1" applyBorder="1" applyAlignment="1" applyProtection="1">
      <alignment vertical="center"/>
    </xf>
    <xf numFmtId="0" fontId="19" fillId="0" borderId="90" xfId="0" applyFont="1" applyFill="1" applyBorder="1" applyAlignment="1" applyProtection="1">
      <alignment vertical="center"/>
    </xf>
    <xf numFmtId="0" fontId="19" fillId="6" borderId="91" xfId="0" applyFont="1" applyFill="1" applyBorder="1" applyAlignment="1" applyProtection="1">
      <alignment vertical="center"/>
    </xf>
    <xf numFmtId="0" fontId="20" fillId="6" borderId="43" xfId="0" applyFont="1" applyFill="1" applyBorder="1" applyAlignment="1" applyProtection="1">
      <alignment horizontal="center" vertical="center"/>
    </xf>
    <xf numFmtId="165" fontId="20" fillId="6" borderId="54" xfId="0" applyNumberFormat="1" applyFont="1" applyFill="1" applyBorder="1" applyAlignment="1" applyProtection="1">
      <alignment horizontal="center"/>
    </xf>
    <xf numFmtId="0" fontId="0" fillId="2" borderId="56" xfId="0" applyFont="1" applyFill="1" applyBorder="1" applyAlignment="1" applyProtection="1">
      <alignment horizontal="center" vertical="center"/>
    </xf>
    <xf numFmtId="0" fontId="27" fillId="2" borderId="51" xfId="0" applyFont="1" applyFill="1" applyBorder="1" applyAlignment="1" applyProtection="1">
      <alignment horizontal="center" vertical="center"/>
    </xf>
    <xf numFmtId="0" fontId="27" fillId="2" borderId="66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8" fillId="10" borderId="24" xfId="0" applyFont="1" applyFill="1" applyBorder="1" applyAlignment="1" applyProtection="1">
      <alignment horizontal="center" vertical="center"/>
    </xf>
    <xf numFmtId="0" fontId="18" fillId="10" borderId="23" xfId="0" applyFont="1" applyFill="1" applyBorder="1" applyAlignment="1" applyProtection="1">
      <alignment horizontal="center" vertical="center"/>
    </xf>
    <xf numFmtId="0" fontId="18" fillId="11" borderId="23" xfId="0" applyFont="1" applyFill="1" applyBorder="1" applyAlignment="1" applyProtection="1">
      <alignment horizontal="center" vertical="center"/>
    </xf>
    <xf numFmtId="0" fontId="18" fillId="11" borderId="25" xfId="0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/>
    </xf>
    <xf numFmtId="0" fontId="20" fillId="0" borderId="2" xfId="0" applyFont="1" applyBorder="1" applyAlignment="1" applyProtection="1">
      <alignment horizontal="left" vertical="center"/>
    </xf>
    <xf numFmtId="0" fontId="20" fillId="0" borderId="0" xfId="0" applyFont="1" applyAlignment="1" applyProtection="1">
      <alignment horizontal="right" vertical="center"/>
    </xf>
    <xf numFmtId="0" fontId="20" fillId="0" borderId="2" xfId="0" applyFont="1" applyBorder="1" applyAlignment="1" applyProtection="1">
      <alignment horizontal="right" vertical="center"/>
    </xf>
    <xf numFmtId="0" fontId="39" fillId="6" borderId="54" xfId="0" applyFont="1" applyFill="1" applyBorder="1" applyAlignment="1" applyProtection="1">
      <alignment horizontal="left" vertical="center"/>
    </xf>
    <xf numFmtId="0" fontId="20" fillId="6" borderId="67" xfId="0" applyFont="1" applyFill="1" applyBorder="1" applyAlignment="1" applyProtection="1">
      <alignment horizontal="left" vertical="center"/>
    </xf>
    <xf numFmtId="0" fontId="20" fillId="6" borderId="68" xfId="0" applyFont="1" applyFill="1" applyBorder="1" applyAlignment="1" applyProtection="1">
      <alignment horizontal="left" vertical="center"/>
    </xf>
    <xf numFmtId="0" fontId="38" fillId="6" borderId="34" xfId="0" applyFont="1" applyFill="1" applyBorder="1" applyAlignment="1" applyProtection="1">
      <alignment horizontal="left" vertical="center"/>
    </xf>
    <xf numFmtId="0" fontId="38" fillId="6" borderId="35" xfId="0" applyFont="1" applyFill="1" applyBorder="1" applyAlignment="1" applyProtection="1">
      <alignment horizontal="left" vertical="center"/>
    </xf>
    <xf numFmtId="0" fontId="38" fillId="6" borderId="58" xfId="0" applyFont="1" applyFill="1" applyBorder="1" applyAlignment="1" applyProtection="1">
      <alignment horizontal="left" vertical="center"/>
    </xf>
    <xf numFmtId="0" fontId="46" fillId="11" borderId="33" xfId="0" applyFont="1" applyFill="1" applyBorder="1" applyAlignment="1" applyProtection="1">
      <alignment horizontal="center" vertical="center"/>
    </xf>
    <xf numFmtId="0" fontId="46" fillId="11" borderId="1" xfId="0" applyFont="1" applyFill="1" applyBorder="1" applyAlignment="1" applyProtection="1">
      <alignment horizontal="center" vertical="center"/>
    </xf>
    <xf numFmtId="0" fontId="46" fillId="10" borderId="33" xfId="0" applyFont="1" applyFill="1" applyBorder="1" applyAlignment="1" applyProtection="1">
      <alignment horizontal="center" vertical="center"/>
    </xf>
    <xf numFmtId="0" fontId="46" fillId="10" borderId="1" xfId="0" applyFont="1" applyFill="1" applyBorder="1" applyAlignment="1" applyProtection="1">
      <alignment horizontal="center" vertical="center"/>
    </xf>
    <xf numFmtId="0" fontId="34" fillId="6" borderId="36" xfId="0" applyFont="1" applyFill="1" applyBorder="1" applyAlignment="1" applyProtection="1">
      <alignment horizontal="left" vertical="center"/>
    </xf>
    <xf numFmtId="0" fontId="34" fillId="6" borderId="69" xfId="0" applyFont="1" applyFill="1" applyBorder="1" applyAlignment="1" applyProtection="1">
      <alignment horizontal="left" vertical="center"/>
    </xf>
    <xf numFmtId="0" fontId="9" fillId="6" borderId="27" xfId="0" applyFont="1" applyFill="1" applyBorder="1" applyAlignment="1" applyProtection="1">
      <alignment horizontal="center" vertical="center"/>
    </xf>
    <xf numFmtId="0" fontId="9" fillId="6" borderId="40" xfId="0" applyFont="1" applyFill="1" applyBorder="1" applyAlignment="1" applyProtection="1">
      <alignment horizontal="center" vertical="center"/>
    </xf>
    <xf numFmtId="0" fontId="29" fillId="5" borderId="17" xfId="0" applyFont="1" applyFill="1" applyBorder="1" applyAlignment="1" applyProtection="1">
      <alignment horizontal="right" vertical="center"/>
    </xf>
    <xf numFmtId="0" fontId="29" fillId="5" borderId="16" xfId="0" applyFont="1" applyFill="1" applyBorder="1" applyAlignment="1" applyProtection="1">
      <alignment horizontal="right" vertical="center"/>
    </xf>
    <xf numFmtId="0" fontId="29" fillId="5" borderId="0" xfId="0" applyFont="1" applyFill="1" applyBorder="1" applyAlignment="1" applyProtection="1">
      <alignment horizontal="right" vertical="center"/>
    </xf>
    <xf numFmtId="0" fontId="29" fillId="5" borderId="11" xfId="0" applyFont="1" applyFill="1" applyBorder="1" applyAlignment="1" applyProtection="1">
      <alignment horizontal="right" vertical="center"/>
    </xf>
    <xf numFmtId="165" fontId="21" fillId="5" borderId="12" xfId="0" applyNumberFormat="1" applyFont="1" applyFill="1" applyBorder="1" applyAlignment="1" applyProtection="1">
      <alignment horizontal="center" vertical="center"/>
    </xf>
    <xf numFmtId="165" fontId="21" fillId="5" borderId="13" xfId="0" applyNumberFormat="1" applyFont="1" applyFill="1" applyBorder="1" applyAlignment="1" applyProtection="1">
      <alignment horizontal="center" vertical="center"/>
    </xf>
    <xf numFmtId="0" fontId="23" fillId="13" borderId="47" xfId="0" applyFont="1" applyFill="1" applyBorder="1" applyAlignment="1" applyProtection="1">
      <alignment horizontal="center" vertical="top" wrapText="1"/>
    </xf>
    <xf numFmtId="0" fontId="21" fillId="13" borderId="48" xfId="0" applyFont="1" applyFill="1" applyBorder="1" applyAlignment="1" applyProtection="1">
      <alignment horizontal="center" vertical="top" wrapText="1"/>
    </xf>
    <xf numFmtId="0" fontId="21" fillId="13" borderId="49" xfId="0" applyFont="1" applyFill="1" applyBorder="1" applyAlignment="1" applyProtection="1">
      <alignment horizontal="center" vertical="top" wrapText="1"/>
    </xf>
    <xf numFmtId="0" fontId="41" fillId="9" borderId="43" xfId="0" applyFont="1" applyFill="1" applyBorder="1" applyAlignment="1" applyProtection="1">
      <alignment horizontal="center" vertical="center" wrapText="1"/>
    </xf>
    <xf numFmtId="0" fontId="41" fillId="9" borderId="46" xfId="0" applyFont="1" applyFill="1" applyBorder="1" applyAlignment="1" applyProtection="1">
      <alignment horizontal="center" vertical="center" wrapText="1"/>
    </xf>
    <xf numFmtId="0" fontId="42" fillId="0" borderId="73" xfId="0" applyFont="1" applyBorder="1" applyAlignment="1" applyProtection="1">
      <alignment horizontal="center" vertical="center"/>
    </xf>
    <xf numFmtId="0" fontId="42" fillId="0" borderId="77" xfId="0" applyFont="1" applyBorder="1" applyAlignment="1" applyProtection="1">
      <alignment horizontal="center" vertical="center"/>
    </xf>
    <xf numFmtId="0" fontId="21" fillId="2" borderId="74" xfId="0" applyFont="1" applyFill="1" applyBorder="1" applyAlignment="1" applyProtection="1">
      <alignment horizontal="center" vertical="center"/>
    </xf>
    <xf numFmtId="0" fontId="21" fillId="2" borderId="26" xfId="0" applyFont="1" applyFill="1" applyBorder="1" applyAlignment="1" applyProtection="1">
      <alignment horizontal="center" vertical="center"/>
    </xf>
    <xf numFmtId="0" fontId="20" fillId="0" borderId="75" xfId="0" applyFont="1" applyBorder="1" applyAlignment="1" applyProtection="1">
      <alignment horizontal="center" vertical="center"/>
    </xf>
    <xf numFmtId="0" fontId="20" fillId="0" borderId="8" xfId="0" applyFont="1" applyBorder="1" applyAlignment="1" applyProtection="1">
      <alignment horizontal="center" vertical="center"/>
    </xf>
    <xf numFmtId="0" fontId="39" fillId="6" borderId="45" xfId="0" applyFont="1" applyFill="1" applyBorder="1" applyAlignment="1" applyProtection="1">
      <alignment horizontal="right" vertical="center"/>
    </xf>
    <xf numFmtId="0" fontId="39" fillId="6" borderId="43" xfId="0" applyFont="1" applyFill="1" applyBorder="1" applyAlignment="1" applyProtection="1">
      <alignment horizontal="right" vertical="center"/>
    </xf>
    <xf numFmtId="165" fontId="39" fillId="6" borderId="45" xfId="0" applyNumberFormat="1" applyFont="1" applyFill="1" applyBorder="1" applyAlignment="1" applyProtection="1">
      <alignment horizontal="right" vertical="center"/>
    </xf>
    <xf numFmtId="165" fontId="39" fillId="6" borderId="43" xfId="0" applyNumberFormat="1" applyFont="1" applyFill="1" applyBorder="1" applyAlignment="1" applyProtection="1">
      <alignment horizontal="right" vertical="center"/>
    </xf>
    <xf numFmtId="165" fontId="39" fillId="6" borderId="46" xfId="0" applyNumberFormat="1" applyFont="1" applyFill="1" applyBorder="1" applyAlignment="1" applyProtection="1">
      <alignment horizontal="right" vertical="center"/>
    </xf>
    <xf numFmtId="0" fontId="20" fillId="12" borderId="45" xfId="0" applyFont="1" applyFill="1" applyBorder="1" applyAlignment="1" applyProtection="1">
      <alignment horizontal="center" vertical="center"/>
      <protection locked="0"/>
    </xf>
    <xf numFmtId="0" fontId="20" fillId="12" borderId="46" xfId="0" applyFont="1" applyFill="1" applyBorder="1" applyAlignment="1" applyProtection="1">
      <alignment horizontal="center" vertical="center"/>
      <protection locked="0"/>
    </xf>
    <xf numFmtId="0" fontId="45" fillId="0" borderId="89" xfId="0" applyFont="1" applyFill="1" applyBorder="1" applyAlignment="1" applyProtection="1">
      <alignment horizontal="center" vertical="center"/>
    </xf>
    <xf numFmtId="0" fontId="45" fillId="0" borderId="46" xfId="0" applyFont="1" applyFill="1" applyBorder="1" applyAlignment="1" applyProtection="1">
      <alignment horizontal="center" vertical="center"/>
    </xf>
    <xf numFmtId="0" fontId="21" fillId="10" borderId="10" xfId="0" applyFont="1" applyFill="1" applyBorder="1" applyAlignment="1" applyProtection="1">
      <alignment horizontal="center" vertical="center"/>
    </xf>
    <xf numFmtId="0" fontId="21" fillId="10" borderId="23" xfId="0" applyFont="1" applyFill="1" applyBorder="1" applyAlignment="1" applyProtection="1">
      <alignment horizontal="center" vertical="center"/>
    </xf>
    <xf numFmtId="0" fontId="21" fillId="11" borderId="10" xfId="0" applyFont="1" applyFill="1" applyBorder="1" applyAlignment="1" applyProtection="1">
      <alignment horizontal="center" vertical="center"/>
    </xf>
    <xf numFmtId="0" fontId="21" fillId="11" borderId="25" xfId="0" applyFont="1" applyFill="1" applyBorder="1" applyAlignment="1" applyProtection="1">
      <alignment horizontal="center" vertical="center"/>
    </xf>
    <xf numFmtId="0" fontId="21" fillId="5" borderId="76" xfId="0" applyFont="1" applyFill="1" applyBorder="1" applyAlignment="1" applyProtection="1">
      <alignment horizontal="center" vertical="center"/>
    </xf>
    <xf numFmtId="0" fontId="21" fillId="5" borderId="78" xfId="0" applyFont="1" applyFill="1" applyBorder="1" applyAlignment="1" applyProtection="1">
      <alignment horizontal="center" vertical="center"/>
    </xf>
    <xf numFmtId="165" fontId="21" fillId="2" borderId="0" xfId="0" applyNumberFormat="1" applyFont="1" applyFill="1" applyBorder="1" applyAlignment="1" applyProtection="1">
      <alignment horizontal="left" vertical="center"/>
    </xf>
    <xf numFmtId="165" fontId="21" fillId="2" borderId="60" xfId="0" applyNumberFormat="1" applyFont="1" applyFill="1" applyBorder="1" applyAlignment="1" applyProtection="1">
      <alignment horizontal="left" vertical="center"/>
    </xf>
    <xf numFmtId="165" fontId="21" fillId="2" borderId="12" xfId="0" applyNumberFormat="1" applyFont="1" applyFill="1" applyBorder="1" applyAlignment="1" applyProtection="1">
      <alignment horizontal="center" vertical="center"/>
    </xf>
    <xf numFmtId="165" fontId="21" fillId="2" borderId="13" xfId="0" applyNumberFormat="1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23" xfId="0" applyFont="1" applyFill="1" applyBorder="1" applyAlignment="1" applyProtection="1">
      <alignment horizontal="center" vertical="center"/>
    </xf>
    <xf numFmtId="0" fontId="29" fillId="2" borderId="17" xfId="0" applyFont="1" applyFill="1" applyBorder="1" applyAlignment="1" applyProtection="1">
      <alignment horizontal="right" vertical="center"/>
    </xf>
    <xf numFmtId="0" fontId="29" fillId="2" borderId="16" xfId="0" applyFont="1" applyFill="1" applyBorder="1" applyAlignment="1" applyProtection="1">
      <alignment horizontal="right" vertical="center"/>
    </xf>
    <xf numFmtId="0" fontId="29" fillId="2" borderId="0" xfId="0" applyFont="1" applyFill="1" applyBorder="1" applyAlignment="1" applyProtection="1">
      <alignment horizontal="right" vertical="center"/>
    </xf>
    <xf numFmtId="0" fontId="29" fillId="2" borderId="11" xfId="0" applyFont="1" applyFill="1" applyBorder="1" applyAlignment="1" applyProtection="1">
      <alignment horizontal="right" vertical="center"/>
    </xf>
    <xf numFmtId="0" fontId="23" fillId="2" borderId="21" xfId="0" applyFont="1" applyFill="1" applyBorder="1" applyAlignment="1" applyProtection="1">
      <alignment horizontal="center" vertical="center"/>
    </xf>
    <xf numFmtId="0" fontId="23" fillId="2" borderId="18" xfId="0" applyFont="1" applyFill="1" applyBorder="1" applyAlignment="1" applyProtection="1">
      <alignment horizontal="center" vertical="center"/>
    </xf>
    <xf numFmtId="0" fontId="23" fillId="3" borderId="17" xfId="0" applyFont="1" applyFill="1" applyBorder="1" applyAlignment="1" applyProtection="1">
      <alignment horizontal="left" vertical="center"/>
      <protection locked="0"/>
    </xf>
    <xf numFmtId="0" fontId="23" fillId="3" borderId="79" xfId="0" applyFont="1" applyFill="1" applyBorder="1" applyAlignment="1" applyProtection="1">
      <alignment horizontal="left" vertical="center"/>
      <protection locked="0"/>
    </xf>
    <xf numFmtId="0" fontId="17" fillId="9" borderId="19" xfId="0" applyFont="1" applyFill="1" applyBorder="1" applyAlignment="1" applyProtection="1">
      <alignment horizontal="center" vertical="center"/>
    </xf>
    <xf numFmtId="0" fontId="17" fillId="9" borderId="5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7" fillId="5" borderId="10" xfId="0" applyFont="1" applyFill="1" applyBorder="1" applyAlignment="1" applyProtection="1">
      <alignment horizontal="center" vertical="center"/>
    </xf>
    <xf numFmtId="0" fontId="17" fillId="5" borderId="23" xfId="0" applyFont="1" applyFill="1" applyBorder="1" applyAlignment="1" applyProtection="1">
      <alignment horizontal="center" vertical="center"/>
    </xf>
    <xf numFmtId="165" fontId="21" fillId="5" borderId="0" xfId="0" applyNumberFormat="1" applyFont="1" applyFill="1" applyBorder="1" applyAlignment="1" applyProtection="1">
      <alignment horizontal="left" vertical="center"/>
    </xf>
    <xf numFmtId="165" fontId="21" fillId="5" borderId="60" xfId="0" applyNumberFormat="1" applyFont="1" applyFill="1" applyBorder="1" applyAlignment="1" applyProtection="1">
      <alignment horizontal="left" vertical="center"/>
    </xf>
    <xf numFmtId="0" fontId="23" fillId="5" borderId="21" xfId="0" applyFont="1" applyFill="1" applyBorder="1" applyAlignment="1" applyProtection="1">
      <alignment horizontal="center" vertical="center"/>
    </xf>
    <xf numFmtId="0" fontId="23" fillId="5" borderId="18" xfId="0" applyFont="1" applyFill="1" applyBorder="1" applyAlignment="1" applyProtection="1">
      <alignment horizontal="center" vertical="center"/>
    </xf>
    <xf numFmtId="0" fontId="20" fillId="3" borderId="3" xfId="0" applyFont="1" applyFill="1" applyBorder="1" applyAlignment="1" applyProtection="1">
      <alignment horizontal="center" vertical="center"/>
    </xf>
    <xf numFmtId="0" fontId="20" fillId="3" borderId="6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39">
    <dxf>
      <font>
        <u val="none"/>
        <color rgb="FFC00000"/>
      </font>
      <fill>
        <patternFill>
          <bgColor theme="0" tint="-4.9989318521683403E-2"/>
        </patternFill>
      </fill>
    </dxf>
    <dxf>
      <font>
        <b val="0"/>
        <i val="0"/>
        <u/>
        <color rgb="FFC00000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ont>
        <b val="0"/>
        <i val="0"/>
        <color theme="5" tint="-0.499984740745262"/>
      </font>
      <fill>
        <patternFill>
          <bgColor theme="6" tint="0.79998168889431442"/>
        </patternFill>
      </fill>
    </dxf>
    <dxf>
      <font>
        <b val="0"/>
        <i val="0"/>
        <color theme="9" tint="-0.499984740745262"/>
      </font>
      <fill>
        <patternFill>
          <bgColor theme="6" tint="0.79998168889431442"/>
        </patternFill>
      </fill>
    </dxf>
    <dxf>
      <font>
        <color theme="5" tint="-0.499984740745262"/>
      </font>
      <fill>
        <patternFill>
          <bgColor theme="6" tint="0.79998168889431442"/>
        </patternFill>
      </fill>
    </dxf>
    <dxf>
      <font>
        <color theme="9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6" tint="0.79998168889431442"/>
        </patternFill>
      </fill>
    </dxf>
    <dxf>
      <font>
        <color theme="9" tint="-0.24994659260841701"/>
      </font>
      <fill>
        <patternFill>
          <bgColor theme="6" tint="0.79998168889431442"/>
        </patternFill>
      </fill>
    </dxf>
    <dxf>
      <font>
        <b val="0"/>
        <i val="0"/>
        <color theme="9" tint="-0.24994659260841701"/>
      </font>
      <fill>
        <patternFill>
          <bgColor theme="6" tint="0.79998168889431442"/>
        </patternFill>
      </fill>
    </dxf>
    <dxf>
      <font>
        <b val="0"/>
        <i val="0"/>
        <strike val="0"/>
        <color theme="4" tint="-0.24994659260841701"/>
      </font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  <fill>
        <patternFill>
          <bgColor rgb="FFE8F4F8"/>
        </patternFill>
      </fill>
    </dxf>
    <dxf>
      <font>
        <color rgb="FFFF0000"/>
      </font>
    </dxf>
    <dxf>
      <font>
        <color rgb="FFFF0000"/>
      </font>
      <fill>
        <patternFill patternType="solid">
          <bgColor rgb="FFD4C1A8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ill>
        <patternFill>
          <bgColor rgb="FFFFFFCC"/>
        </patternFill>
      </fill>
    </dxf>
    <dxf>
      <font>
        <color rgb="FFC00000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C00000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9C0006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  <color theme="1"/>
      </font>
      <fill>
        <patternFill>
          <bgColor rgb="FFFFFFCC"/>
        </patternFill>
      </fill>
    </dxf>
    <dxf>
      <font>
        <b/>
        <i val="0"/>
        <color theme="1"/>
      </font>
      <fill>
        <patternFill>
          <bgColor rgb="FFFFFFC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AAE9F6"/>
      <color rgb="FF94744A"/>
      <color rgb="FF760000"/>
      <color rgb="FFD4C1A8"/>
      <color rgb="FFFFFFCC"/>
      <color rgb="FFE8F4F8"/>
      <color rgb="FFFFFF66"/>
      <color rgb="FFFFFF99"/>
      <color rgb="FFFFFFB9"/>
      <color rgb="FFFFFD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955184"/>
        <c:axId val="187956304"/>
      </c:barChart>
      <c:catAx>
        <c:axId val="1879551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956304"/>
        <c:crosses val="autoZero"/>
        <c:auto val="1"/>
        <c:lblAlgn val="ctr"/>
        <c:lblOffset val="100"/>
        <c:noMultiLvlLbl val="0"/>
      </c:catAx>
      <c:valAx>
        <c:axId val="18795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95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0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5419725</xdr:colOff>
      <xdr:row>0</xdr:row>
      <xdr:rowOff>119062</xdr:rowOff>
    </xdr:from>
    <xdr:to>
      <xdr:col>6</xdr:col>
      <xdr:colOff>5419727</xdr:colOff>
      <xdr:row>45</xdr:row>
      <xdr:rowOff>252413</xdr:rowOff>
    </xdr:to>
    <xdr:cxnSp macro="">
      <xdr:nvCxnSpPr>
        <xdr:cNvPr id="69" name="Straight Connector 68"/>
        <xdr:cNvCxnSpPr/>
      </xdr:nvCxnSpPr>
      <xdr:spPr>
        <a:xfrm flipH="1">
          <a:off x="11134725" y="119062"/>
          <a:ext cx="2" cy="8963026"/>
        </a:xfrm>
        <a:prstGeom prst="line">
          <a:avLst/>
        </a:prstGeom>
        <a:ln w="28575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5048251</xdr:colOff>
      <xdr:row>23</xdr:row>
      <xdr:rowOff>3572</xdr:rowOff>
    </xdr:from>
    <xdr:to>
      <xdr:col>6</xdr:col>
      <xdr:colOff>5766201</xdr:colOff>
      <xdr:row>25</xdr:row>
      <xdr:rowOff>9525</xdr:rowOff>
    </xdr:to>
    <xdr:sp macro="" textlink="">
      <xdr:nvSpPr>
        <xdr:cNvPr id="73" name="TextBox 72"/>
        <xdr:cNvSpPr txBox="1"/>
      </xdr:nvSpPr>
      <xdr:spPr>
        <a:xfrm>
          <a:off x="10763251" y="4318397"/>
          <a:ext cx="717950" cy="4726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Frame Length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4310063</xdr:colOff>
      <xdr:row>26</xdr:row>
      <xdr:rowOff>47627</xdr:rowOff>
    </xdr:from>
    <xdr:to>
      <xdr:col>6</xdr:col>
      <xdr:colOff>4310066</xdr:colOff>
      <xdr:row>32</xdr:row>
      <xdr:rowOff>0</xdr:rowOff>
    </xdr:to>
    <xdr:cxnSp macro="">
      <xdr:nvCxnSpPr>
        <xdr:cNvPr id="18" name="Straight Arrow Connector 17"/>
        <xdr:cNvCxnSpPr/>
      </xdr:nvCxnSpPr>
      <xdr:spPr>
        <a:xfrm flipH="1">
          <a:off x="10025063" y="4905377"/>
          <a:ext cx="3" cy="1209673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3833814</xdr:colOff>
      <xdr:row>29</xdr:row>
      <xdr:rowOff>33337</xdr:rowOff>
    </xdr:from>
    <xdr:to>
      <xdr:col>6</xdr:col>
      <xdr:colOff>5043491</xdr:colOff>
      <xdr:row>30</xdr:row>
      <xdr:rowOff>23812</xdr:rowOff>
    </xdr:to>
    <xdr:sp macro="" textlink="">
      <xdr:nvSpPr>
        <xdr:cNvPr id="98" name="TextBox 97"/>
        <xdr:cNvSpPr txBox="1"/>
      </xdr:nvSpPr>
      <xdr:spPr>
        <a:xfrm>
          <a:off x="9548814" y="5624512"/>
          <a:ext cx="1209677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Pocket Length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197222</xdr:colOff>
      <xdr:row>0</xdr:row>
      <xdr:rowOff>186017</xdr:rowOff>
    </xdr:from>
    <xdr:to>
      <xdr:col>6</xdr:col>
      <xdr:colOff>3878636</xdr:colOff>
      <xdr:row>45</xdr:row>
      <xdr:rowOff>133631</xdr:rowOff>
    </xdr:to>
    <xdr:sp macro="" textlink="">
      <xdr:nvSpPr>
        <xdr:cNvPr id="2" name="Rectangle 1"/>
        <xdr:cNvSpPr/>
      </xdr:nvSpPr>
      <xdr:spPr>
        <a:xfrm>
          <a:off x="5912222" y="186017"/>
          <a:ext cx="3681414" cy="8777289"/>
        </a:xfrm>
        <a:prstGeom prst="rect">
          <a:avLst/>
        </a:prstGeom>
        <a:solidFill>
          <a:srgbClr val="D4C1A8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3121025</xdr:colOff>
      <xdr:row>26</xdr:row>
      <xdr:rowOff>44823</xdr:rowOff>
    </xdr:from>
    <xdr:to>
      <xdr:col>6</xdr:col>
      <xdr:colOff>3860798</xdr:colOff>
      <xdr:row>32</xdr:row>
      <xdr:rowOff>9525</xdr:rowOff>
    </xdr:to>
    <xdr:sp macro="" textlink="">
      <xdr:nvSpPr>
        <xdr:cNvPr id="82" name="Rectangle 81"/>
        <xdr:cNvSpPr/>
      </xdr:nvSpPr>
      <xdr:spPr>
        <a:xfrm>
          <a:off x="8836025" y="4902573"/>
          <a:ext cx="739773" cy="1222002"/>
        </a:xfrm>
        <a:prstGeom prst="rect">
          <a:avLst/>
        </a:prstGeom>
        <a:solidFill>
          <a:schemeClr val="bg2"/>
        </a:solidFill>
        <a:ln w="19050">
          <a:noFill/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1852613</xdr:colOff>
      <xdr:row>33</xdr:row>
      <xdr:rowOff>176212</xdr:rowOff>
    </xdr:from>
    <xdr:to>
      <xdr:col>6</xdr:col>
      <xdr:colOff>2995615</xdr:colOff>
      <xdr:row>34</xdr:row>
      <xdr:rowOff>147638</xdr:rowOff>
    </xdr:to>
    <xdr:sp macro="" textlink="">
      <xdr:nvSpPr>
        <xdr:cNvPr id="106" name="TextBox 105"/>
        <xdr:cNvSpPr txBox="1"/>
      </xdr:nvSpPr>
      <xdr:spPr>
        <a:xfrm>
          <a:off x="7567613" y="6519862"/>
          <a:ext cx="1143002" cy="200026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Pocket Depth</a:t>
          </a:r>
        </a:p>
      </xdr:txBody>
    </xdr:sp>
    <xdr:clientData/>
  </xdr:twoCellAnchor>
  <xdr:twoCellAnchor>
    <xdr:from>
      <xdr:col>6</xdr:col>
      <xdr:colOff>1728788</xdr:colOff>
      <xdr:row>1</xdr:row>
      <xdr:rowOff>0</xdr:rowOff>
    </xdr:from>
    <xdr:to>
      <xdr:col>6</xdr:col>
      <xdr:colOff>2609850</xdr:colOff>
      <xdr:row>2</xdr:row>
      <xdr:rowOff>242887</xdr:rowOff>
    </xdr:to>
    <xdr:sp macro="" textlink="">
      <xdr:nvSpPr>
        <xdr:cNvPr id="48" name="TextBox 47"/>
        <xdr:cNvSpPr txBox="1"/>
      </xdr:nvSpPr>
      <xdr:spPr>
        <a:xfrm>
          <a:off x="7443788" y="247650"/>
          <a:ext cx="881062" cy="442912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Lite CO Width</a:t>
          </a:r>
        </a:p>
      </xdr:txBody>
    </xdr:sp>
    <xdr:clientData/>
  </xdr:twoCellAnchor>
  <xdr:twoCellAnchor>
    <xdr:from>
      <xdr:col>6</xdr:col>
      <xdr:colOff>561975</xdr:colOff>
      <xdr:row>23</xdr:row>
      <xdr:rowOff>242888</xdr:rowOff>
    </xdr:from>
    <xdr:to>
      <xdr:col>6</xdr:col>
      <xdr:colOff>561975</xdr:colOff>
      <xdr:row>45</xdr:row>
      <xdr:rowOff>247652</xdr:rowOff>
    </xdr:to>
    <xdr:cxnSp macro="">
      <xdr:nvCxnSpPr>
        <xdr:cNvPr id="71" name="Straight Connector 70"/>
        <xdr:cNvCxnSpPr/>
      </xdr:nvCxnSpPr>
      <xdr:spPr>
        <a:xfrm>
          <a:off x="6276975" y="4557713"/>
          <a:ext cx="0" cy="4510089"/>
        </a:xfrm>
        <a:prstGeom prst="line">
          <a:avLst/>
        </a:prstGeom>
        <a:ln w="28575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32</xdr:row>
      <xdr:rowOff>161923</xdr:rowOff>
    </xdr:from>
    <xdr:to>
      <xdr:col>6</xdr:col>
      <xdr:colOff>1076326</xdr:colOff>
      <xdr:row>36</xdr:row>
      <xdr:rowOff>76200</xdr:rowOff>
    </xdr:to>
    <xdr:sp macro="" textlink="">
      <xdr:nvSpPr>
        <xdr:cNvPr id="72" name="TextBox 71"/>
        <xdr:cNvSpPr txBox="1"/>
      </xdr:nvSpPr>
      <xdr:spPr>
        <a:xfrm>
          <a:off x="5943600" y="6276973"/>
          <a:ext cx="847726" cy="809627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Bottom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of Cutout to Finished Floor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1609725</xdr:colOff>
      <xdr:row>47</xdr:row>
      <xdr:rowOff>4763</xdr:rowOff>
    </xdr:from>
    <xdr:to>
      <xdr:col>6</xdr:col>
      <xdr:colOff>2762251</xdr:colOff>
      <xdr:row>47</xdr:row>
      <xdr:rowOff>190501</xdr:rowOff>
    </xdr:to>
    <xdr:sp macro="" textlink="">
      <xdr:nvSpPr>
        <xdr:cNvPr id="17" name="TextBox 16"/>
        <xdr:cNvSpPr txBox="1"/>
      </xdr:nvSpPr>
      <xdr:spPr>
        <a:xfrm>
          <a:off x="7324725" y="9986963"/>
          <a:ext cx="1152526" cy="1857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Finished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Floor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114300</xdr:colOff>
      <xdr:row>3</xdr:row>
      <xdr:rowOff>57150</xdr:rowOff>
    </xdr:from>
    <xdr:to>
      <xdr:col>5</xdr:col>
      <xdr:colOff>1266825</xdr:colOff>
      <xdr:row>5</xdr:row>
      <xdr:rowOff>28575</xdr:rowOff>
    </xdr:to>
    <xdr:sp macro="" textlink="">
      <xdr:nvSpPr>
        <xdr:cNvPr id="88" name="TextBox 87"/>
        <xdr:cNvSpPr txBox="1"/>
      </xdr:nvSpPr>
      <xdr:spPr>
        <a:xfrm>
          <a:off x="4448175" y="752475"/>
          <a:ext cx="11525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Frame</a:t>
          </a:r>
        </a:p>
      </xdr:txBody>
    </xdr:sp>
    <xdr:clientData/>
  </xdr:twoCellAnchor>
  <xdr:twoCellAnchor>
    <xdr:from>
      <xdr:col>6</xdr:col>
      <xdr:colOff>3232150</xdr:colOff>
      <xdr:row>27</xdr:row>
      <xdr:rowOff>227010</xdr:rowOff>
    </xdr:from>
    <xdr:to>
      <xdr:col>6</xdr:col>
      <xdr:colOff>3660775</xdr:colOff>
      <xdr:row>29</xdr:row>
      <xdr:rowOff>141286</xdr:rowOff>
    </xdr:to>
    <xdr:sp macro="" textlink="">
      <xdr:nvSpPr>
        <xdr:cNvPr id="3" name="Oval 2"/>
        <xdr:cNvSpPr/>
      </xdr:nvSpPr>
      <xdr:spPr>
        <a:xfrm>
          <a:off x="8947150" y="5313360"/>
          <a:ext cx="428625" cy="419101"/>
        </a:xfrm>
        <a:prstGeom prst="ellipse">
          <a:avLst/>
        </a:prstGeom>
        <a:solidFill>
          <a:schemeClr val="accent1">
            <a:lumMod val="20000"/>
            <a:lumOff val="80000"/>
          </a:schemeClr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3448048</xdr:colOff>
      <xdr:row>23</xdr:row>
      <xdr:rowOff>33336</xdr:rowOff>
    </xdr:from>
    <xdr:to>
      <xdr:col>6</xdr:col>
      <xdr:colOff>3448048</xdr:colOff>
      <xdr:row>31</xdr:row>
      <xdr:rowOff>138111</xdr:rowOff>
    </xdr:to>
    <xdr:cxnSp macro="">
      <xdr:nvCxnSpPr>
        <xdr:cNvPr id="5" name="Straight Connector 4"/>
        <xdr:cNvCxnSpPr/>
      </xdr:nvCxnSpPr>
      <xdr:spPr>
        <a:xfrm>
          <a:off x="9163048" y="4348161"/>
          <a:ext cx="0" cy="1666875"/>
        </a:xfrm>
        <a:prstGeom prst="line">
          <a:avLst/>
        </a:prstGeom>
        <a:ln w="19050">
          <a:solidFill>
            <a:schemeClr val="tx1"/>
          </a:solidFill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2833688</xdr:colOff>
      <xdr:row>28</xdr:row>
      <xdr:rowOff>209550</xdr:rowOff>
    </xdr:from>
    <xdr:to>
      <xdr:col>6</xdr:col>
      <xdr:colOff>4814888</xdr:colOff>
      <xdr:row>28</xdr:row>
      <xdr:rowOff>209550</xdr:rowOff>
    </xdr:to>
    <xdr:cxnSp macro="">
      <xdr:nvCxnSpPr>
        <xdr:cNvPr id="6" name="Straight Connector 5"/>
        <xdr:cNvCxnSpPr/>
      </xdr:nvCxnSpPr>
      <xdr:spPr>
        <a:xfrm>
          <a:off x="8548688" y="5524500"/>
          <a:ext cx="1981200" cy="0"/>
        </a:xfrm>
        <a:prstGeom prst="line">
          <a:avLst/>
        </a:prstGeom>
        <a:ln w="19050"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1747838</xdr:colOff>
      <xdr:row>4</xdr:row>
      <xdr:rowOff>4764</xdr:rowOff>
    </xdr:from>
    <xdr:to>
      <xdr:col>6</xdr:col>
      <xdr:colOff>2576513</xdr:colOff>
      <xdr:row>23</xdr:row>
      <xdr:rowOff>247650</xdr:rowOff>
    </xdr:to>
    <xdr:sp macro="" textlink="">
      <xdr:nvSpPr>
        <xdr:cNvPr id="10" name="Rectangle 9"/>
        <xdr:cNvSpPr/>
      </xdr:nvSpPr>
      <xdr:spPr>
        <a:xfrm>
          <a:off x="7462838" y="890589"/>
          <a:ext cx="828675" cy="3671886"/>
        </a:xfrm>
        <a:prstGeom prst="rect">
          <a:avLst/>
        </a:prstGeom>
        <a:solidFill>
          <a:srgbClr val="E8F4F8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2576513</xdr:colOff>
      <xdr:row>17</xdr:row>
      <xdr:rowOff>171451</xdr:rowOff>
    </xdr:from>
    <xdr:to>
      <xdr:col>6</xdr:col>
      <xdr:colOff>3876675</xdr:colOff>
      <xdr:row>17</xdr:row>
      <xdr:rowOff>171451</xdr:rowOff>
    </xdr:to>
    <xdr:cxnSp macro="">
      <xdr:nvCxnSpPr>
        <xdr:cNvPr id="12" name="Straight Arrow Connector 11"/>
        <xdr:cNvCxnSpPr/>
      </xdr:nvCxnSpPr>
      <xdr:spPr>
        <a:xfrm>
          <a:off x="8291513" y="3429001"/>
          <a:ext cx="1300162" cy="0"/>
        </a:xfrm>
        <a:prstGeom prst="straightConnector1">
          <a:avLst/>
        </a:prstGeom>
        <a:ln w="190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2947988</xdr:colOff>
      <xdr:row>16</xdr:row>
      <xdr:rowOff>123823</xdr:rowOff>
    </xdr:from>
    <xdr:to>
      <xdr:col>6</xdr:col>
      <xdr:colOff>3486150</xdr:colOff>
      <xdr:row>19</xdr:row>
      <xdr:rowOff>4761</xdr:rowOff>
    </xdr:to>
    <xdr:sp macro="" textlink="">
      <xdr:nvSpPr>
        <xdr:cNvPr id="13" name="TextBox 12"/>
        <xdr:cNvSpPr txBox="1"/>
      </xdr:nvSpPr>
      <xdr:spPr>
        <a:xfrm>
          <a:off x="8662988" y="3181348"/>
          <a:ext cx="538162" cy="481013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Lock Stile</a:t>
          </a:r>
        </a:p>
      </xdr:txBody>
    </xdr:sp>
    <xdr:clientData/>
  </xdr:twoCellAnchor>
  <xdr:twoCellAnchor>
    <xdr:from>
      <xdr:col>6</xdr:col>
      <xdr:colOff>3448049</xdr:colOff>
      <xdr:row>23</xdr:row>
      <xdr:rowOff>123824</xdr:rowOff>
    </xdr:from>
    <xdr:to>
      <xdr:col>6</xdr:col>
      <xdr:colOff>3867150</xdr:colOff>
      <xdr:row>23</xdr:row>
      <xdr:rowOff>123825</xdr:rowOff>
    </xdr:to>
    <xdr:cxnSp macro="">
      <xdr:nvCxnSpPr>
        <xdr:cNvPr id="15" name="Straight Arrow Connector 14"/>
        <xdr:cNvCxnSpPr/>
      </xdr:nvCxnSpPr>
      <xdr:spPr>
        <a:xfrm>
          <a:off x="9229724" y="4467224"/>
          <a:ext cx="419101" cy="1"/>
        </a:xfrm>
        <a:prstGeom prst="straightConnector1">
          <a:avLst/>
        </a:prstGeom>
        <a:ln w="190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3067050</xdr:colOff>
      <xdr:row>21</xdr:row>
      <xdr:rowOff>57151</xdr:rowOff>
    </xdr:from>
    <xdr:to>
      <xdr:col>6</xdr:col>
      <xdr:colOff>3809998</xdr:colOff>
      <xdr:row>22</xdr:row>
      <xdr:rowOff>57152</xdr:rowOff>
    </xdr:to>
    <xdr:sp macro="" textlink="">
      <xdr:nvSpPr>
        <xdr:cNvPr id="20" name="TextBox 19"/>
        <xdr:cNvSpPr txBox="1"/>
      </xdr:nvSpPr>
      <xdr:spPr>
        <a:xfrm>
          <a:off x="8782050" y="3971926"/>
          <a:ext cx="742948" cy="200026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Backset</a:t>
          </a:r>
        </a:p>
      </xdr:txBody>
    </xdr:sp>
    <xdr:clientData/>
  </xdr:twoCellAnchor>
  <xdr:twoCellAnchor>
    <xdr:from>
      <xdr:col>6</xdr:col>
      <xdr:colOff>4576762</xdr:colOff>
      <xdr:row>0</xdr:row>
      <xdr:rowOff>185737</xdr:rowOff>
    </xdr:from>
    <xdr:to>
      <xdr:col>6</xdr:col>
      <xdr:colOff>4576762</xdr:colOff>
      <xdr:row>28</xdr:row>
      <xdr:rowOff>204787</xdr:rowOff>
    </xdr:to>
    <xdr:cxnSp macro="">
      <xdr:nvCxnSpPr>
        <xdr:cNvPr id="21" name="Straight Connector 20"/>
        <xdr:cNvCxnSpPr/>
      </xdr:nvCxnSpPr>
      <xdr:spPr>
        <a:xfrm>
          <a:off x="10291762" y="185737"/>
          <a:ext cx="0" cy="5334000"/>
        </a:xfrm>
        <a:prstGeom prst="line">
          <a:avLst/>
        </a:prstGeom>
        <a:ln w="28575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4000500</xdr:colOff>
      <xdr:row>0</xdr:row>
      <xdr:rowOff>176213</xdr:rowOff>
    </xdr:from>
    <xdr:to>
      <xdr:col>6</xdr:col>
      <xdr:colOff>5167313</xdr:colOff>
      <xdr:row>0</xdr:row>
      <xdr:rowOff>176213</xdr:rowOff>
    </xdr:to>
    <xdr:cxnSp macro="">
      <xdr:nvCxnSpPr>
        <xdr:cNvPr id="26" name="Straight Connector 25"/>
        <xdr:cNvCxnSpPr/>
      </xdr:nvCxnSpPr>
      <xdr:spPr>
        <a:xfrm>
          <a:off x="9715500" y="176213"/>
          <a:ext cx="11668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4105275</xdr:colOff>
      <xdr:row>7</xdr:row>
      <xdr:rowOff>136920</xdr:rowOff>
    </xdr:from>
    <xdr:to>
      <xdr:col>6</xdr:col>
      <xdr:colOff>4995864</xdr:colOff>
      <xdr:row>11</xdr:row>
      <xdr:rowOff>42863</xdr:rowOff>
    </xdr:to>
    <xdr:sp macro="" textlink="">
      <xdr:nvSpPr>
        <xdr:cNvPr id="29" name="TextBox 28"/>
        <xdr:cNvSpPr txBox="1"/>
      </xdr:nvSpPr>
      <xdr:spPr>
        <a:xfrm>
          <a:off x="9820275" y="1622820"/>
          <a:ext cx="890589" cy="7060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Lock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Centerline from TOD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1143000</xdr:colOff>
      <xdr:row>4</xdr:row>
      <xdr:rowOff>4763</xdr:rowOff>
    </xdr:from>
    <xdr:to>
      <xdr:col>6</xdr:col>
      <xdr:colOff>1685925</xdr:colOff>
      <xdr:row>4</xdr:row>
      <xdr:rowOff>4763</xdr:rowOff>
    </xdr:to>
    <xdr:cxnSp macro="">
      <xdr:nvCxnSpPr>
        <xdr:cNvPr id="30" name="Straight Connector 29"/>
        <xdr:cNvCxnSpPr/>
      </xdr:nvCxnSpPr>
      <xdr:spPr>
        <a:xfrm>
          <a:off x="6858000" y="890588"/>
          <a:ext cx="542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23</xdr:row>
      <xdr:rowOff>252412</xdr:rowOff>
    </xdr:from>
    <xdr:to>
      <xdr:col>6</xdr:col>
      <xdr:colOff>1681163</xdr:colOff>
      <xdr:row>23</xdr:row>
      <xdr:rowOff>252413</xdr:rowOff>
    </xdr:to>
    <xdr:cxnSp macro="">
      <xdr:nvCxnSpPr>
        <xdr:cNvPr id="31" name="Straight Connector 30"/>
        <xdr:cNvCxnSpPr/>
      </xdr:nvCxnSpPr>
      <xdr:spPr>
        <a:xfrm flipV="1">
          <a:off x="6019800" y="5272087"/>
          <a:ext cx="1376363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1281113</xdr:colOff>
      <xdr:row>3</xdr:row>
      <xdr:rowOff>185738</xdr:rowOff>
    </xdr:from>
    <xdr:to>
      <xdr:col>6</xdr:col>
      <xdr:colOff>1281113</xdr:colOff>
      <xdr:row>23</xdr:row>
      <xdr:rowOff>252413</xdr:rowOff>
    </xdr:to>
    <xdr:cxnSp macro="">
      <xdr:nvCxnSpPr>
        <xdr:cNvPr id="32" name="Straight Connector 31"/>
        <xdr:cNvCxnSpPr/>
      </xdr:nvCxnSpPr>
      <xdr:spPr>
        <a:xfrm>
          <a:off x="6996113" y="881063"/>
          <a:ext cx="0" cy="4391025"/>
        </a:xfrm>
        <a:prstGeom prst="line">
          <a:avLst/>
        </a:prstGeom>
        <a:ln w="28575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771525</xdr:colOff>
      <xdr:row>10</xdr:row>
      <xdr:rowOff>146447</xdr:rowOff>
    </xdr:from>
    <xdr:to>
      <xdr:col>6</xdr:col>
      <xdr:colOff>1719263</xdr:colOff>
      <xdr:row>13</xdr:row>
      <xdr:rowOff>157164</xdr:rowOff>
    </xdr:to>
    <xdr:sp macro="" textlink="">
      <xdr:nvSpPr>
        <xdr:cNvPr id="35" name="TextBox 34"/>
        <xdr:cNvSpPr txBox="1"/>
      </xdr:nvSpPr>
      <xdr:spPr>
        <a:xfrm>
          <a:off x="6486525" y="2232422"/>
          <a:ext cx="947738" cy="477442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Lite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Cutout Length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1281114</xdr:colOff>
      <xdr:row>0</xdr:row>
      <xdr:rowOff>195264</xdr:rowOff>
    </xdr:from>
    <xdr:to>
      <xdr:col>6</xdr:col>
      <xdr:colOff>1281114</xdr:colOff>
      <xdr:row>4</xdr:row>
      <xdr:rowOff>1</xdr:rowOff>
    </xdr:to>
    <xdr:cxnSp macro="">
      <xdr:nvCxnSpPr>
        <xdr:cNvPr id="38" name="Straight Arrow Connector 37"/>
        <xdr:cNvCxnSpPr/>
      </xdr:nvCxnSpPr>
      <xdr:spPr>
        <a:xfrm flipV="1">
          <a:off x="6996114" y="195264"/>
          <a:ext cx="0" cy="690562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1752600</xdr:colOff>
      <xdr:row>2</xdr:row>
      <xdr:rowOff>204788</xdr:rowOff>
    </xdr:from>
    <xdr:to>
      <xdr:col>6</xdr:col>
      <xdr:colOff>1752602</xdr:colOff>
      <xdr:row>3</xdr:row>
      <xdr:rowOff>166690</xdr:rowOff>
    </xdr:to>
    <xdr:cxnSp macro="">
      <xdr:nvCxnSpPr>
        <xdr:cNvPr id="43" name="Straight Connector 42"/>
        <xdr:cNvCxnSpPr/>
      </xdr:nvCxnSpPr>
      <xdr:spPr>
        <a:xfrm flipH="1" flipV="1">
          <a:off x="7467600" y="652463"/>
          <a:ext cx="2" cy="2095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1752601</xdr:colOff>
      <xdr:row>3</xdr:row>
      <xdr:rowOff>114302</xdr:rowOff>
    </xdr:from>
    <xdr:to>
      <xdr:col>6</xdr:col>
      <xdr:colOff>2581276</xdr:colOff>
      <xdr:row>3</xdr:row>
      <xdr:rowOff>114302</xdr:rowOff>
    </xdr:to>
    <xdr:cxnSp macro="">
      <xdr:nvCxnSpPr>
        <xdr:cNvPr id="46" name="Straight Arrow Connector 45"/>
        <xdr:cNvCxnSpPr/>
      </xdr:nvCxnSpPr>
      <xdr:spPr>
        <a:xfrm>
          <a:off x="7467601" y="809627"/>
          <a:ext cx="828675" cy="0"/>
        </a:xfrm>
        <a:prstGeom prst="straightConnector1">
          <a:avLst/>
        </a:prstGeom>
        <a:ln w="190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4024312</xdr:colOff>
      <xdr:row>52</xdr:row>
      <xdr:rowOff>138112</xdr:rowOff>
    </xdr:from>
    <xdr:to>
      <xdr:col>9</xdr:col>
      <xdr:colOff>4510087</xdr:colOff>
      <xdr:row>52</xdr:row>
      <xdr:rowOff>138113</xdr:rowOff>
    </xdr:to>
    <xdr:cxnSp macro="">
      <xdr:nvCxnSpPr>
        <xdr:cNvPr id="49" name="Straight Connector 48"/>
        <xdr:cNvCxnSpPr/>
      </xdr:nvCxnSpPr>
      <xdr:spPr>
        <a:xfrm>
          <a:off x="9739312" y="8958262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5033963</xdr:colOff>
      <xdr:row>0</xdr:row>
      <xdr:rowOff>176213</xdr:rowOff>
    </xdr:from>
    <xdr:to>
      <xdr:col>6</xdr:col>
      <xdr:colOff>5033965</xdr:colOff>
      <xdr:row>45</xdr:row>
      <xdr:rowOff>123826</xdr:rowOff>
    </xdr:to>
    <xdr:cxnSp macro="">
      <xdr:nvCxnSpPr>
        <xdr:cNvPr id="51" name="Straight Connector 50"/>
        <xdr:cNvCxnSpPr/>
      </xdr:nvCxnSpPr>
      <xdr:spPr>
        <a:xfrm flipH="1">
          <a:off x="10748963" y="176213"/>
          <a:ext cx="2" cy="8777288"/>
        </a:xfrm>
        <a:prstGeom prst="line">
          <a:avLst/>
        </a:prstGeom>
        <a:ln w="28575">
          <a:headEnd type="triangl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4668931</xdr:colOff>
      <xdr:row>15</xdr:row>
      <xdr:rowOff>63732</xdr:rowOff>
    </xdr:from>
    <xdr:to>
      <xdr:col>6</xdr:col>
      <xdr:colOff>5392831</xdr:colOff>
      <xdr:row>18</xdr:row>
      <xdr:rowOff>123265</xdr:rowOff>
    </xdr:to>
    <xdr:sp macro="" textlink="">
      <xdr:nvSpPr>
        <xdr:cNvPr id="58" name="TextBox 57"/>
        <xdr:cNvSpPr txBox="1"/>
      </xdr:nvSpPr>
      <xdr:spPr>
        <a:xfrm>
          <a:off x="10372725" y="3066908"/>
          <a:ext cx="723900" cy="53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Door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Length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120463</xdr:colOff>
      <xdr:row>0</xdr:row>
      <xdr:rowOff>109818</xdr:rowOff>
    </xdr:from>
    <xdr:to>
      <xdr:col>6</xdr:col>
      <xdr:colOff>120463</xdr:colOff>
      <xdr:row>45</xdr:row>
      <xdr:rowOff>243167</xdr:rowOff>
    </xdr:to>
    <xdr:cxnSp macro="">
      <xdr:nvCxnSpPr>
        <xdr:cNvPr id="60" name="Straight Connector 59"/>
        <xdr:cNvCxnSpPr/>
      </xdr:nvCxnSpPr>
      <xdr:spPr>
        <a:xfrm>
          <a:off x="7626163" y="109818"/>
          <a:ext cx="0" cy="9467849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3949794</xdr:colOff>
      <xdr:row>0</xdr:row>
      <xdr:rowOff>114300</xdr:rowOff>
    </xdr:from>
    <xdr:to>
      <xdr:col>6</xdr:col>
      <xdr:colOff>3949796</xdr:colOff>
      <xdr:row>46</xdr:row>
      <xdr:rowOff>0</xdr:rowOff>
    </xdr:to>
    <xdr:cxnSp macro="">
      <xdr:nvCxnSpPr>
        <xdr:cNvPr id="61" name="Straight Connector 60"/>
        <xdr:cNvCxnSpPr/>
      </xdr:nvCxnSpPr>
      <xdr:spPr>
        <a:xfrm flipH="1">
          <a:off x="11457735" y="114300"/>
          <a:ext cx="2" cy="9208994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112059</xdr:colOff>
      <xdr:row>0</xdr:row>
      <xdr:rowOff>123265</xdr:rowOff>
    </xdr:from>
    <xdr:to>
      <xdr:col>6</xdr:col>
      <xdr:colOff>3942108</xdr:colOff>
      <xdr:row>0</xdr:row>
      <xdr:rowOff>126311</xdr:rowOff>
    </xdr:to>
    <xdr:cxnSp macro="">
      <xdr:nvCxnSpPr>
        <xdr:cNvPr id="62" name="Straight Connector 61"/>
        <xdr:cNvCxnSpPr/>
      </xdr:nvCxnSpPr>
      <xdr:spPr>
        <a:xfrm>
          <a:off x="7620000" y="123265"/>
          <a:ext cx="3830049" cy="304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3990975</xdr:colOff>
      <xdr:row>0</xdr:row>
      <xdr:rowOff>123825</xdr:rowOff>
    </xdr:from>
    <xdr:to>
      <xdr:col>6</xdr:col>
      <xdr:colOff>5457825</xdr:colOff>
      <xdr:row>0</xdr:row>
      <xdr:rowOff>123825</xdr:rowOff>
    </xdr:to>
    <xdr:cxnSp macro="">
      <xdr:nvCxnSpPr>
        <xdr:cNvPr id="67" name="Straight Connector 66"/>
        <xdr:cNvCxnSpPr/>
      </xdr:nvCxnSpPr>
      <xdr:spPr>
        <a:xfrm>
          <a:off x="9705975" y="123825"/>
          <a:ext cx="146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4043362</xdr:colOff>
      <xdr:row>46</xdr:row>
      <xdr:rowOff>0</xdr:rowOff>
    </xdr:from>
    <xdr:to>
      <xdr:col>6</xdr:col>
      <xdr:colOff>4743450</xdr:colOff>
      <xdr:row>46</xdr:row>
      <xdr:rowOff>0</xdr:rowOff>
    </xdr:to>
    <xdr:cxnSp macro="">
      <xdr:nvCxnSpPr>
        <xdr:cNvPr id="70" name="Straight Connector 69"/>
        <xdr:cNvCxnSpPr/>
      </xdr:nvCxnSpPr>
      <xdr:spPr>
        <a:xfrm>
          <a:off x="9758362" y="9782175"/>
          <a:ext cx="700088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3910013</xdr:colOff>
      <xdr:row>22</xdr:row>
      <xdr:rowOff>171447</xdr:rowOff>
    </xdr:from>
    <xdr:to>
      <xdr:col>6</xdr:col>
      <xdr:colOff>4643439</xdr:colOff>
      <xdr:row>24</xdr:row>
      <xdr:rowOff>176213</xdr:rowOff>
    </xdr:to>
    <xdr:sp macro="" textlink="">
      <xdr:nvSpPr>
        <xdr:cNvPr id="74" name="TextBox 73"/>
        <xdr:cNvSpPr txBox="1"/>
      </xdr:nvSpPr>
      <xdr:spPr>
        <a:xfrm>
          <a:off x="9625013" y="4286247"/>
          <a:ext cx="733426" cy="4619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Cyl Lock Bore</a:t>
          </a:r>
        </a:p>
      </xdr:txBody>
    </xdr:sp>
    <xdr:clientData/>
  </xdr:twoCellAnchor>
  <xdr:twoCellAnchor>
    <xdr:from>
      <xdr:col>6</xdr:col>
      <xdr:colOff>4081463</xdr:colOff>
      <xdr:row>32</xdr:row>
      <xdr:rowOff>142876</xdr:rowOff>
    </xdr:from>
    <xdr:to>
      <xdr:col>6</xdr:col>
      <xdr:colOff>4824413</xdr:colOff>
      <xdr:row>34</xdr:row>
      <xdr:rowOff>157165</xdr:rowOff>
    </xdr:to>
    <xdr:sp macro="" textlink="">
      <xdr:nvSpPr>
        <xdr:cNvPr id="84" name="TextBox 83"/>
        <xdr:cNvSpPr txBox="1"/>
      </xdr:nvSpPr>
      <xdr:spPr>
        <a:xfrm>
          <a:off x="9796463" y="6257926"/>
          <a:ext cx="742950" cy="471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Mortise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Pocket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3609975</xdr:colOff>
      <xdr:row>32</xdr:row>
      <xdr:rowOff>14289</xdr:rowOff>
    </xdr:from>
    <xdr:to>
      <xdr:col>6</xdr:col>
      <xdr:colOff>4081463</xdr:colOff>
      <xdr:row>33</xdr:row>
      <xdr:rowOff>150022</xdr:rowOff>
    </xdr:to>
    <xdr:cxnSp macro="">
      <xdr:nvCxnSpPr>
        <xdr:cNvPr id="85" name="Curved Connector 84"/>
        <xdr:cNvCxnSpPr>
          <a:stCxn id="84" idx="1"/>
        </xdr:cNvCxnSpPr>
      </xdr:nvCxnSpPr>
      <xdr:spPr>
        <a:xfrm rot="10800000">
          <a:off x="9324975" y="6129339"/>
          <a:ext cx="471488" cy="364333"/>
        </a:xfrm>
        <a:prstGeom prst="curvedConnector3">
          <a:avLst>
            <a:gd name="adj1" fmla="val 99495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4052888</xdr:colOff>
      <xdr:row>26</xdr:row>
      <xdr:rowOff>52387</xdr:rowOff>
    </xdr:from>
    <xdr:to>
      <xdr:col>6</xdr:col>
      <xdr:colOff>4357688</xdr:colOff>
      <xdr:row>26</xdr:row>
      <xdr:rowOff>52388</xdr:rowOff>
    </xdr:to>
    <xdr:cxnSp macro="">
      <xdr:nvCxnSpPr>
        <xdr:cNvPr id="96" name="Straight Connector 95"/>
        <xdr:cNvCxnSpPr/>
      </xdr:nvCxnSpPr>
      <xdr:spPr>
        <a:xfrm>
          <a:off x="9767888" y="4910137"/>
          <a:ext cx="304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4043362</xdr:colOff>
      <xdr:row>31</xdr:row>
      <xdr:rowOff>238124</xdr:rowOff>
    </xdr:from>
    <xdr:to>
      <xdr:col>6</xdr:col>
      <xdr:colOff>4386262</xdr:colOff>
      <xdr:row>31</xdr:row>
      <xdr:rowOff>238124</xdr:rowOff>
    </xdr:to>
    <xdr:cxnSp macro="">
      <xdr:nvCxnSpPr>
        <xdr:cNvPr id="97" name="Straight Connector 96"/>
        <xdr:cNvCxnSpPr/>
      </xdr:nvCxnSpPr>
      <xdr:spPr>
        <a:xfrm>
          <a:off x="9758362" y="6115049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3119438</xdr:colOff>
      <xdr:row>32</xdr:row>
      <xdr:rowOff>61912</xdr:rowOff>
    </xdr:from>
    <xdr:to>
      <xdr:col>6</xdr:col>
      <xdr:colOff>3119439</xdr:colOff>
      <xdr:row>35</xdr:row>
      <xdr:rowOff>52388</xdr:rowOff>
    </xdr:to>
    <xdr:cxnSp macro="">
      <xdr:nvCxnSpPr>
        <xdr:cNvPr id="101" name="Straight Connector 100"/>
        <xdr:cNvCxnSpPr/>
      </xdr:nvCxnSpPr>
      <xdr:spPr>
        <a:xfrm flipV="1">
          <a:off x="8834438" y="6176962"/>
          <a:ext cx="1" cy="6762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3114676</xdr:colOff>
      <xdr:row>34</xdr:row>
      <xdr:rowOff>47625</xdr:rowOff>
    </xdr:from>
    <xdr:to>
      <xdr:col>6</xdr:col>
      <xdr:colOff>3881438</xdr:colOff>
      <xdr:row>34</xdr:row>
      <xdr:rowOff>47625</xdr:rowOff>
    </xdr:to>
    <xdr:cxnSp macro="">
      <xdr:nvCxnSpPr>
        <xdr:cNvPr id="102" name="Straight Arrow Connector 101"/>
        <xdr:cNvCxnSpPr/>
      </xdr:nvCxnSpPr>
      <xdr:spPr>
        <a:xfrm>
          <a:off x="8829676" y="6619875"/>
          <a:ext cx="766762" cy="0"/>
        </a:xfrm>
        <a:prstGeom prst="straightConnector1">
          <a:avLst/>
        </a:prstGeom>
        <a:ln w="19050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1804988</xdr:colOff>
      <xdr:row>13</xdr:row>
      <xdr:rowOff>33336</xdr:rowOff>
    </xdr:from>
    <xdr:to>
      <xdr:col>6</xdr:col>
      <xdr:colOff>2509837</xdr:colOff>
      <xdr:row>15</xdr:row>
      <xdr:rowOff>47625</xdr:rowOff>
    </xdr:to>
    <xdr:sp macro="" textlink="">
      <xdr:nvSpPr>
        <xdr:cNvPr id="110" name="TextBox 109"/>
        <xdr:cNvSpPr txBox="1"/>
      </xdr:nvSpPr>
      <xdr:spPr>
        <a:xfrm>
          <a:off x="7519988" y="2586036"/>
          <a:ext cx="704849" cy="452439"/>
        </a:xfrm>
        <a:prstGeom prst="rect">
          <a:avLst/>
        </a:prstGeom>
        <a:solidFill>
          <a:srgbClr val="E8F4F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Lite Cutout</a:t>
          </a:r>
        </a:p>
      </xdr:txBody>
    </xdr:sp>
    <xdr:clientData/>
  </xdr:twoCellAnchor>
  <xdr:twoCellAnchor>
    <xdr:from>
      <xdr:col>6</xdr:col>
      <xdr:colOff>3514724</xdr:colOff>
      <xdr:row>22</xdr:row>
      <xdr:rowOff>47628</xdr:rowOff>
    </xdr:from>
    <xdr:to>
      <xdr:col>6</xdr:col>
      <xdr:colOff>3638551</xdr:colOff>
      <xdr:row>23</xdr:row>
      <xdr:rowOff>119063</xdr:rowOff>
    </xdr:to>
    <xdr:cxnSp macro="">
      <xdr:nvCxnSpPr>
        <xdr:cNvPr id="111" name="Curved Connector 110"/>
        <xdr:cNvCxnSpPr/>
      </xdr:nvCxnSpPr>
      <xdr:spPr>
        <a:xfrm rot="16200000" flipH="1">
          <a:off x="9155908" y="4236244"/>
          <a:ext cx="271460" cy="123827"/>
        </a:xfrm>
        <a:prstGeom prst="curvedConnector3">
          <a:avLst>
            <a:gd name="adj1" fmla="val 50000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1347790</xdr:colOff>
      <xdr:row>38</xdr:row>
      <xdr:rowOff>223838</xdr:rowOff>
    </xdr:from>
    <xdr:to>
      <xdr:col>6</xdr:col>
      <xdr:colOff>2628900</xdr:colOff>
      <xdr:row>41</xdr:row>
      <xdr:rowOff>80963</xdr:rowOff>
    </xdr:to>
    <xdr:sp macro="" textlink="">
      <xdr:nvSpPr>
        <xdr:cNvPr id="116" name="TextBox 115"/>
        <xdr:cNvSpPr txBox="1"/>
      </xdr:nvSpPr>
      <xdr:spPr>
        <a:xfrm>
          <a:off x="7062790" y="7700963"/>
          <a:ext cx="1281110" cy="400050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Door</a:t>
          </a:r>
        </a:p>
      </xdr:txBody>
    </xdr:sp>
    <xdr:clientData/>
  </xdr:twoCellAnchor>
  <xdr:twoCellAnchor>
    <xdr:from>
      <xdr:col>6</xdr:col>
      <xdr:colOff>895353</xdr:colOff>
      <xdr:row>1</xdr:row>
      <xdr:rowOff>157163</xdr:rowOff>
    </xdr:from>
    <xdr:to>
      <xdr:col>6</xdr:col>
      <xdr:colOff>1666876</xdr:colOff>
      <xdr:row>2</xdr:row>
      <xdr:rowOff>195264</xdr:rowOff>
    </xdr:to>
    <xdr:sp macro="" textlink="">
      <xdr:nvSpPr>
        <xdr:cNvPr id="36" name="TextBox 35"/>
        <xdr:cNvSpPr txBox="1"/>
      </xdr:nvSpPr>
      <xdr:spPr>
        <a:xfrm>
          <a:off x="6610353" y="404813"/>
          <a:ext cx="771523" cy="238126"/>
        </a:xfrm>
        <a:prstGeom prst="rect">
          <a:avLst/>
        </a:prstGeom>
        <a:solidFill>
          <a:srgbClr val="D4C1A8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Top Rail</a:t>
          </a:r>
        </a:p>
      </xdr:txBody>
    </xdr:sp>
    <xdr:clientData/>
  </xdr:twoCellAnchor>
  <xdr:twoCellAnchor>
    <xdr:from>
      <xdr:col>6</xdr:col>
      <xdr:colOff>2576513</xdr:colOff>
      <xdr:row>2</xdr:row>
      <xdr:rowOff>209551</xdr:rowOff>
    </xdr:from>
    <xdr:to>
      <xdr:col>6</xdr:col>
      <xdr:colOff>2576515</xdr:colOff>
      <xdr:row>3</xdr:row>
      <xdr:rowOff>171453</xdr:rowOff>
    </xdr:to>
    <xdr:cxnSp macro="">
      <xdr:nvCxnSpPr>
        <xdr:cNvPr id="132" name="Straight Connector 131"/>
        <xdr:cNvCxnSpPr/>
      </xdr:nvCxnSpPr>
      <xdr:spPr>
        <a:xfrm flipH="1" flipV="1">
          <a:off x="8291513" y="657226"/>
          <a:ext cx="2" cy="2095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2590800</xdr:colOff>
      <xdr:row>23</xdr:row>
      <xdr:rowOff>242888</xdr:rowOff>
    </xdr:from>
    <xdr:to>
      <xdr:col>6</xdr:col>
      <xdr:colOff>3136900</xdr:colOff>
      <xdr:row>26</xdr:row>
      <xdr:rowOff>53975</xdr:rowOff>
    </xdr:to>
    <xdr:cxnSp macro="">
      <xdr:nvCxnSpPr>
        <xdr:cNvPr id="140" name="Straight Arrow Connector 139"/>
        <xdr:cNvCxnSpPr/>
      </xdr:nvCxnSpPr>
      <xdr:spPr>
        <a:xfrm>
          <a:off x="8305800" y="4557713"/>
          <a:ext cx="546100" cy="354012"/>
        </a:xfrm>
        <a:prstGeom prst="straightConnector1">
          <a:avLst/>
        </a:prstGeom>
        <a:ln w="28575">
          <a:solidFill>
            <a:schemeClr val="bg2">
              <a:lumMod val="2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2571750</xdr:colOff>
      <xdr:row>24</xdr:row>
      <xdr:rowOff>0</xdr:rowOff>
    </xdr:from>
    <xdr:to>
      <xdr:col>6</xdr:col>
      <xdr:colOff>3294921</xdr:colOff>
      <xdr:row>28</xdr:row>
      <xdr:rowOff>59786</xdr:rowOff>
    </xdr:to>
    <xdr:cxnSp macro="">
      <xdr:nvCxnSpPr>
        <xdr:cNvPr id="142" name="Straight Arrow Connector 141"/>
        <xdr:cNvCxnSpPr>
          <a:endCxn id="3" idx="1"/>
        </xdr:cNvCxnSpPr>
      </xdr:nvCxnSpPr>
      <xdr:spPr>
        <a:xfrm>
          <a:off x="8286750" y="4572000"/>
          <a:ext cx="723171" cy="802736"/>
        </a:xfrm>
        <a:prstGeom prst="straightConnector1">
          <a:avLst/>
        </a:prstGeom>
        <a:ln w="28575">
          <a:solidFill>
            <a:srgbClr val="0070C0"/>
          </a:solidFill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890588</xdr:colOff>
      <xdr:row>27</xdr:row>
      <xdr:rowOff>219353</xdr:rowOff>
    </xdr:from>
    <xdr:to>
      <xdr:col>6</xdr:col>
      <xdr:colOff>2594442</xdr:colOff>
      <xdr:row>29</xdr:row>
      <xdr:rowOff>176493</xdr:rowOff>
    </xdr:to>
    <xdr:sp macro="" textlink="">
      <xdr:nvSpPr>
        <xdr:cNvPr id="147" name="TextBox 146"/>
        <xdr:cNvSpPr txBox="1"/>
      </xdr:nvSpPr>
      <xdr:spPr>
        <a:xfrm>
          <a:off x="6605588" y="5305703"/>
          <a:ext cx="1703854" cy="461965"/>
        </a:xfrm>
        <a:prstGeom prst="rect">
          <a:avLst/>
        </a:prstGeom>
        <a:solidFill>
          <a:srgbClr val="E3EBF5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aseline="0">
              <a:solidFill>
                <a:srgbClr val="005A9E"/>
              </a:solidFill>
              <a:latin typeface="Arial" panose="020B0604020202020204" pitchFamily="34" charset="0"/>
              <a:cs typeface="Arial" panose="020B0604020202020204" pitchFamily="34" charset="0"/>
            </a:rPr>
            <a:t>Clearance, Lite CO to </a:t>
          </a:r>
          <a:r>
            <a:rPr lang="en-US" sz="1200" u="sng" baseline="0">
              <a:solidFill>
                <a:srgbClr val="005A9E"/>
              </a:solidFill>
              <a:latin typeface="Arial" panose="020B0604020202020204" pitchFamily="34" charset="0"/>
              <a:cs typeface="Arial" panose="020B0604020202020204" pitchFamily="34" charset="0"/>
            </a:rPr>
            <a:t>Cylinder</a:t>
          </a:r>
          <a:r>
            <a:rPr lang="en-US" sz="1200" baseline="0">
              <a:solidFill>
                <a:srgbClr val="005A9E"/>
              </a:solidFill>
              <a:latin typeface="Arial" panose="020B0604020202020204" pitchFamily="34" charset="0"/>
              <a:cs typeface="Arial" panose="020B0604020202020204" pitchFamily="34" charset="0"/>
            </a:rPr>
            <a:t> Lock Edge</a:t>
          </a:r>
          <a:endParaRPr lang="en-US" sz="1200">
            <a:solidFill>
              <a:srgbClr val="005A9E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889468</xdr:colOff>
      <xdr:row>24</xdr:row>
      <xdr:rowOff>161926</xdr:rowOff>
    </xdr:from>
    <xdr:to>
      <xdr:col>6</xdr:col>
      <xdr:colOff>2594445</xdr:colOff>
      <xdr:row>27</xdr:row>
      <xdr:rowOff>175092</xdr:rowOff>
    </xdr:to>
    <xdr:sp macro="" textlink="">
      <xdr:nvSpPr>
        <xdr:cNvPr id="170" name="TextBox 169"/>
        <xdr:cNvSpPr txBox="1"/>
      </xdr:nvSpPr>
      <xdr:spPr>
        <a:xfrm>
          <a:off x="7909393" y="4876801"/>
          <a:ext cx="1704977" cy="470366"/>
        </a:xfrm>
        <a:prstGeom prst="rect">
          <a:avLst/>
        </a:prstGeom>
        <a:solidFill>
          <a:srgbClr val="F1F0E7"/>
        </a:solidFill>
        <a:ln w="28575">
          <a:solidFill>
            <a:schemeClr val="bg2">
              <a:lumMod val="25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aseline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Clearance, Lite CO to </a:t>
          </a:r>
          <a:r>
            <a:rPr lang="en-US" sz="1200" u="sng" baseline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Mortise</a:t>
          </a:r>
          <a:r>
            <a:rPr lang="en-US" sz="1200" baseline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Lock Edge</a:t>
          </a:r>
          <a:endParaRPr lang="en-US" sz="1200">
            <a:solidFill>
              <a:schemeClr val="bg2">
                <a:lumMod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2594445</xdr:colOff>
      <xdr:row>24</xdr:row>
      <xdr:rowOff>190500</xdr:rowOff>
    </xdr:from>
    <xdr:to>
      <xdr:col>6</xdr:col>
      <xdr:colOff>2943225</xdr:colOff>
      <xdr:row>26</xdr:row>
      <xdr:rowOff>168509</xdr:rowOff>
    </xdr:to>
    <xdr:cxnSp macro="">
      <xdr:nvCxnSpPr>
        <xdr:cNvPr id="180" name="Straight Arrow Connector 179"/>
        <xdr:cNvCxnSpPr>
          <a:stCxn id="170" idx="3"/>
        </xdr:cNvCxnSpPr>
      </xdr:nvCxnSpPr>
      <xdr:spPr>
        <a:xfrm flipV="1">
          <a:off x="9614370" y="4905375"/>
          <a:ext cx="348780" cy="206609"/>
        </a:xfrm>
        <a:prstGeom prst="straightConnector1">
          <a:avLst/>
        </a:prstGeom>
        <a:ln w="28575">
          <a:solidFill>
            <a:schemeClr val="bg2">
              <a:lumMod val="25000"/>
            </a:schemeClr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2594442</xdr:colOff>
      <xdr:row>27</xdr:row>
      <xdr:rowOff>57150</xdr:rowOff>
    </xdr:from>
    <xdr:to>
      <xdr:col>6</xdr:col>
      <xdr:colOff>3086100</xdr:colOff>
      <xdr:row>28</xdr:row>
      <xdr:rowOff>221736</xdr:rowOff>
    </xdr:to>
    <xdr:cxnSp macro="">
      <xdr:nvCxnSpPr>
        <xdr:cNvPr id="185" name="Straight Arrow Connector 184"/>
        <xdr:cNvCxnSpPr>
          <a:stCxn id="147" idx="3"/>
        </xdr:cNvCxnSpPr>
      </xdr:nvCxnSpPr>
      <xdr:spPr>
        <a:xfrm flipV="1">
          <a:off x="8309442" y="5143500"/>
          <a:ext cx="491658" cy="393186"/>
        </a:xfrm>
        <a:prstGeom prst="straightConnector1">
          <a:avLst/>
        </a:prstGeom>
        <a:ln w="28575">
          <a:solidFill>
            <a:srgbClr val="0070C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1200150</xdr:colOff>
      <xdr:row>4</xdr:row>
      <xdr:rowOff>76200</xdr:rowOff>
    </xdr:from>
    <xdr:to>
      <xdr:col>6</xdr:col>
      <xdr:colOff>123825</xdr:colOff>
      <xdr:row>4</xdr:row>
      <xdr:rowOff>76200</xdr:rowOff>
    </xdr:to>
    <xdr:cxnSp macro="">
      <xdr:nvCxnSpPr>
        <xdr:cNvPr id="225" name="Straight Arrow Connector 224"/>
        <xdr:cNvCxnSpPr/>
      </xdr:nvCxnSpPr>
      <xdr:spPr>
        <a:xfrm>
          <a:off x="5534025" y="962025"/>
          <a:ext cx="304800" cy="0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2176463</xdr:colOff>
      <xdr:row>46</xdr:row>
      <xdr:rowOff>4763</xdr:rowOff>
    </xdr:from>
    <xdr:to>
      <xdr:col>6</xdr:col>
      <xdr:colOff>2176464</xdr:colOff>
      <xdr:row>46</xdr:row>
      <xdr:rowOff>192881</xdr:rowOff>
    </xdr:to>
    <xdr:cxnSp macro="">
      <xdr:nvCxnSpPr>
        <xdr:cNvPr id="68" name="Curved Connector 67"/>
        <xdr:cNvCxnSpPr/>
      </xdr:nvCxnSpPr>
      <xdr:spPr>
        <a:xfrm rot="16200000" flipV="1">
          <a:off x="7797405" y="9880996"/>
          <a:ext cx="188118" cy="1"/>
        </a:xfrm>
        <a:prstGeom prst="curvedConnector3">
          <a:avLst>
            <a:gd name="adj1" fmla="val 50000"/>
          </a:avLst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2159794</xdr:colOff>
      <xdr:row>2</xdr:row>
      <xdr:rowOff>200024</xdr:rowOff>
    </xdr:from>
    <xdr:to>
      <xdr:col>6</xdr:col>
      <xdr:colOff>2162175</xdr:colOff>
      <xdr:row>3</xdr:row>
      <xdr:rowOff>109537</xdr:rowOff>
    </xdr:to>
    <xdr:cxnSp macro="">
      <xdr:nvCxnSpPr>
        <xdr:cNvPr id="77" name="Straight Arrow Connector 76"/>
        <xdr:cNvCxnSpPr/>
      </xdr:nvCxnSpPr>
      <xdr:spPr>
        <a:xfrm>
          <a:off x="7874794" y="647699"/>
          <a:ext cx="2381" cy="157163"/>
        </a:xfrm>
        <a:prstGeom prst="straightConnector1">
          <a:avLst/>
        </a:prstGeom>
        <a:ln w="9525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2914650</xdr:colOff>
      <xdr:row>34</xdr:row>
      <xdr:rowOff>47625</xdr:rowOff>
    </xdr:from>
    <xdr:to>
      <xdr:col>6</xdr:col>
      <xdr:colOff>3119438</xdr:colOff>
      <xdr:row>34</xdr:row>
      <xdr:rowOff>47625</xdr:rowOff>
    </xdr:to>
    <xdr:cxnSp macro="">
      <xdr:nvCxnSpPr>
        <xdr:cNvPr id="108" name="Straight Arrow Connector 107"/>
        <xdr:cNvCxnSpPr/>
      </xdr:nvCxnSpPr>
      <xdr:spPr>
        <a:xfrm>
          <a:off x="8629650" y="6619875"/>
          <a:ext cx="204788" cy="0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828676</xdr:colOff>
      <xdr:row>7</xdr:row>
      <xdr:rowOff>61913</xdr:rowOff>
    </xdr:from>
    <xdr:to>
      <xdr:col>5</xdr:col>
      <xdr:colOff>1171576</xdr:colOff>
      <xdr:row>11</xdr:row>
      <xdr:rowOff>22413</xdr:rowOff>
    </xdr:to>
    <xdr:sp macro="" textlink="">
      <xdr:nvSpPr>
        <xdr:cNvPr id="47" name="TextBox 46"/>
        <xdr:cNvSpPr txBox="1"/>
      </xdr:nvSpPr>
      <xdr:spPr>
        <a:xfrm>
          <a:off x="6039411" y="1585913"/>
          <a:ext cx="1261783" cy="935412"/>
        </a:xfrm>
        <a:prstGeom prst="rect">
          <a:avLst/>
        </a:prstGeom>
        <a:solidFill>
          <a:schemeClr val="bg1">
            <a:lumMod val="95000"/>
          </a:schemeClr>
        </a:solidFill>
        <a:ln w="28575" cap="rnd" cmpd="dbl">
          <a:solidFill>
            <a:schemeClr val="tx1"/>
          </a:solidFill>
          <a:rou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760000"/>
              </a:solidFill>
              <a:latin typeface="Arial" panose="020B0604020202020204" pitchFamily="34" charset="0"/>
              <a:cs typeface="Arial" panose="020B0604020202020204" pitchFamily="34" charset="0"/>
            </a:rPr>
            <a:t>Note: Calculated dimensions with </a:t>
          </a:r>
          <a:r>
            <a:rPr lang="en-US" sz="1100" u="sng">
              <a:solidFill>
                <a:srgbClr val="760000"/>
              </a:solidFill>
              <a:latin typeface="Arial" panose="020B0604020202020204" pitchFamily="34" charset="0"/>
              <a:cs typeface="Arial" panose="020B0604020202020204" pitchFamily="34" charset="0"/>
            </a:rPr>
            <a:t>fractions</a:t>
          </a:r>
          <a:r>
            <a:rPr lang="en-US" sz="1100">
              <a:solidFill>
                <a:srgbClr val="760000"/>
              </a:solidFill>
              <a:latin typeface="Arial" panose="020B0604020202020204" pitchFamily="34" charset="0"/>
              <a:cs typeface="Arial" panose="020B0604020202020204" pitchFamily="34" charset="0"/>
            </a:rPr>
            <a:t> may be rounded to the nearest 1/32"</a:t>
          </a:r>
        </a:p>
      </xdr:txBody>
    </xdr:sp>
    <xdr:clientData/>
  </xdr:twoCellAnchor>
  <xdr:twoCellAnchor>
    <xdr:from>
      <xdr:col>2</xdr:col>
      <xdr:colOff>609599</xdr:colOff>
      <xdr:row>33</xdr:row>
      <xdr:rowOff>76198</xdr:rowOff>
    </xdr:from>
    <xdr:to>
      <xdr:col>2</xdr:col>
      <xdr:colOff>933450</xdr:colOff>
      <xdr:row>33</xdr:row>
      <xdr:rowOff>190500</xdr:rowOff>
    </xdr:to>
    <xdr:sp macro="" textlink="">
      <xdr:nvSpPr>
        <xdr:cNvPr id="52" name="Striped Right Arrow 51"/>
        <xdr:cNvSpPr/>
      </xdr:nvSpPr>
      <xdr:spPr>
        <a:xfrm>
          <a:off x="4029074" y="6334123"/>
          <a:ext cx="323851" cy="114302"/>
        </a:xfrm>
        <a:prstGeom prst="stripedRightArrow">
          <a:avLst>
            <a:gd name="adj1" fmla="val 32270"/>
            <a:gd name="adj2" fmla="val 95134"/>
          </a:avLst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6</xdr:col>
      <xdr:colOff>4029075</xdr:colOff>
      <xdr:row>45</xdr:row>
      <xdr:rowOff>128588</xdr:rowOff>
    </xdr:from>
    <xdr:to>
      <xdr:col>6</xdr:col>
      <xdr:colOff>5195888</xdr:colOff>
      <xdr:row>45</xdr:row>
      <xdr:rowOff>128588</xdr:rowOff>
    </xdr:to>
    <xdr:cxnSp macro="">
      <xdr:nvCxnSpPr>
        <xdr:cNvPr id="78" name="Straight Connector 77"/>
        <xdr:cNvCxnSpPr/>
      </xdr:nvCxnSpPr>
      <xdr:spPr>
        <a:xfrm>
          <a:off x="9744075" y="8958263"/>
          <a:ext cx="1166813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3571875</xdr:colOff>
      <xdr:row>24</xdr:row>
      <xdr:rowOff>28575</xdr:rowOff>
    </xdr:from>
    <xdr:to>
      <xdr:col>6</xdr:col>
      <xdr:colOff>4090988</xdr:colOff>
      <xdr:row>28</xdr:row>
      <xdr:rowOff>23813</xdr:rowOff>
    </xdr:to>
    <xdr:cxnSp macro="">
      <xdr:nvCxnSpPr>
        <xdr:cNvPr id="120" name="Straight Arrow Connector 119"/>
        <xdr:cNvCxnSpPr/>
      </xdr:nvCxnSpPr>
      <xdr:spPr>
        <a:xfrm flipH="1">
          <a:off x="9286875" y="4600575"/>
          <a:ext cx="519113" cy="738188"/>
        </a:xfrm>
        <a:prstGeom prst="straightConnector1">
          <a:avLst/>
        </a:prstGeom>
        <a:ln w="19050"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3157537</xdr:colOff>
      <xdr:row>26</xdr:row>
      <xdr:rowOff>52388</xdr:rowOff>
    </xdr:from>
    <xdr:to>
      <xdr:col>6</xdr:col>
      <xdr:colOff>3890962</xdr:colOff>
      <xdr:row>26</xdr:row>
      <xdr:rowOff>52388</xdr:rowOff>
    </xdr:to>
    <xdr:cxnSp macro="">
      <xdr:nvCxnSpPr>
        <xdr:cNvPr id="150" name="Straight Connector 149"/>
        <xdr:cNvCxnSpPr/>
      </xdr:nvCxnSpPr>
      <xdr:spPr>
        <a:xfrm>
          <a:off x="8872537" y="4910138"/>
          <a:ext cx="733425" cy="0"/>
        </a:xfrm>
        <a:prstGeom prst="line">
          <a:avLst/>
        </a:prstGeom>
        <a:ln w="190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3124200</xdr:colOff>
      <xdr:row>32</xdr:row>
      <xdr:rowOff>4762</xdr:rowOff>
    </xdr:from>
    <xdr:to>
      <xdr:col>6</xdr:col>
      <xdr:colOff>3857625</xdr:colOff>
      <xdr:row>32</xdr:row>
      <xdr:rowOff>4762</xdr:rowOff>
    </xdr:to>
    <xdr:cxnSp macro="">
      <xdr:nvCxnSpPr>
        <xdr:cNvPr id="188" name="Straight Connector 187"/>
        <xdr:cNvCxnSpPr/>
      </xdr:nvCxnSpPr>
      <xdr:spPr>
        <a:xfrm>
          <a:off x="8839200" y="6119812"/>
          <a:ext cx="733425" cy="0"/>
        </a:xfrm>
        <a:prstGeom prst="line">
          <a:avLst/>
        </a:prstGeom>
        <a:ln w="190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3119437</xdr:colOff>
      <xdr:row>26</xdr:row>
      <xdr:rowOff>42864</xdr:rowOff>
    </xdr:from>
    <xdr:to>
      <xdr:col>6</xdr:col>
      <xdr:colOff>3124200</xdr:colOff>
      <xdr:row>32</xdr:row>
      <xdr:rowOff>19050</xdr:rowOff>
    </xdr:to>
    <xdr:cxnSp macro="">
      <xdr:nvCxnSpPr>
        <xdr:cNvPr id="189" name="Straight Connector 188"/>
        <xdr:cNvCxnSpPr/>
      </xdr:nvCxnSpPr>
      <xdr:spPr>
        <a:xfrm>
          <a:off x="8834437" y="4900614"/>
          <a:ext cx="4763" cy="1233486"/>
        </a:xfrm>
        <a:prstGeom prst="line">
          <a:avLst/>
        </a:prstGeom>
        <a:ln w="1905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115890</xdr:colOff>
      <xdr:row>27</xdr:row>
      <xdr:rowOff>127002</xdr:rowOff>
    </xdr:from>
    <xdr:to>
      <xdr:col>0</xdr:col>
      <xdr:colOff>1304926</xdr:colOff>
      <xdr:row>32</xdr:row>
      <xdr:rowOff>28575</xdr:rowOff>
    </xdr:to>
    <xdr:grpSp>
      <xdr:nvGrpSpPr>
        <xdr:cNvPr id="237" name="Group 236"/>
        <xdr:cNvGrpSpPr/>
      </xdr:nvGrpSpPr>
      <xdr:grpSpPr>
        <a:xfrm>
          <a:off x="115890" y="5595473"/>
          <a:ext cx="1189036" cy="910102"/>
          <a:chOff x="2219326" y="9848850"/>
          <a:chExt cx="1233440" cy="971550"/>
        </a:xfrm>
      </xdr:grpSpPr>
      <xdr:sp macro="" textlink="">
        <xdr:nvSpPr>
          <xdr:cNvPr id="4" name="L-Shape 3"/>
          <xdr:cNvSpPr/>
        </xdr:nvSpPr>
        <xdr:spPr>
          <a:xfrm rot="5400000">
            <a:off x="2409823" y="10134601"/>
            <a:ext cx="519114" cy="433389"/>
          </a:xfrm>
          <a:prstGeom prst="corner">
            <a:avLst>
              <a:gd name="adj1" fmla="val 33333"/>
              <a:gd name="adj2" fmla="val 27778"/>
            </a:avLst>
          </a:prstGeom>
          <a:solidFill>
            <a:srgbClr val="94744A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" name="Straight Connector 7"/>
          <xdr:cNvCxnSpPr/>
        </xdr:nvCxnSpPr>
        <xdr:spPr>
          <a:xfrm>
            <a:off x="2457450" y="10668000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" name="TextBox 8"/>
          <xdr:cNvSpPr txBox="1"/>
        </xdr:nvSpPr>
        <xdr:spPr>
          <a:xfrm>
            <a:off x="2419349" y="9848850"/>
            <a:ext cx="523875" cy="161925"/>
          </a:xfrm>
          <a:prstGeom prst="rect">
            <a:avLst/>
          </a:prstGeom>
          <a:solidFill>
            <a:srgbClr val="AAE9F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200"/>
              <a:t>Face</a:t>
            </a:r>
          </a:p>
        </xdr:txBody>
      </xdr:sp>
      <xdr:sp macro="" textlink="">
        <xdr:nvSpPr>
          <xdr:cNvPr id="75" name="TextBox 74"/>
          <xdr:cNvSpPr txBox="1"/>
        </xdr:nvSpPr>
        <xdr:spPr>
          <a:xfrm>
            <a:off x="2995611" y="10286999"/>
            <a:ext cx="457155" cy="155391"/>
          </a:xfrm>
          <a:prstGeom prst="rect">
            <a:avLst/>
          </a:prstGeom>
          <a:solidFill>
            <a:srgbClr val="AAE9F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200" b="1">
                <a:solidFill>
                  <a:schemeClr val="accent6">
                    <a:lumMod val="7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Lip</a:t>
            </a:r>
          </a:p>
        </xdr:txBody>
      </xdr:sp>
      <xdr:cxnSp macro="">
        <xdr:nvCxnSpPr>
          <xdr:cNvPr id="76" name="Straight Connector 75"/>
          <xdr:cNvCxnSpPr/>
        </xdr:nvCxnSpPr>
        <xdr:spPr>
          <a:xfrm>
            <a:off x="2895600" y="10287000"/>
            <a:ext cx="0" cy="23812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Straight Arrow Connector 18"/>
          <xdr:cNvCxnSpPr/>
        </xdr:nvCxnSpPr>
        <xdr:spPr>
          <a:xfrm>
            <a:off x="2609850" y="10372725"/>
            <a:ext cx="276225" cy="0"/>
          </a:xfrm>
          <a:prstGeom prst="straightConnector1">
            <a:avLst/>
          </a:prstGeom>
          <a:ln>
            <a:headEnd type="triangl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" name="Straight Arrow Connector 24"/>
          <xdr:cNvCxnSpPr/>
        </xdr:nvCxnSpPr>
        <xdr:spPr>
          <a:xfrm flipH="1">
            <a:off x="2905125" y="10372725"/>
            <a:ext cx="166687" cy="1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Straight Connector 85"/>
          <xdr:cNvCxnSpPr/>
        </xdr:nvCxnSpPr>
        <xdr:spPr>
          <a:xfrm>
            <a:off x="2600325" y="10668000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" name="Straight Arrow Connector 88"/>
          <xdr:cNvCxnSpPr/>
        </xdr:nvCxnSpPr>
        <xdr:spPr>
          <a:xfrm>
            <a:off x="2219326" y="10744200"/>
            <a:ext cx="233362" cy="0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0" name="TextBox 89"/>
          <xdr:cNvSpPr txBox="1"/>
        </xdr:nvSpPr>
        <xdr:spPr>
          <a:xfrm>
            <a:off x="2686050" y="10641344"/>
            <a:ext cx="707432" cy="179055"/>
          </a:xfrm>
          <a:prstGeom prst="rect">
            <a:avLst/>
          </a:prstGeom>
          <a:solidFill>
            <a:srgbClr val="AAE9F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200" b="1">
                <a:solidFill>
                  <a:srgbClr val="C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Width</a:t>
            </a:r>
          </a:p>
        </xdr:txBody>
      </xdr:sp>
      <xdr:cxnSp macro="">
        <xdr:nvCxnSpPr>
          <xdr:cNvPr id="87" name="Straight Arrow Connector 86"/>
          <xdr:cNvCxnSpPr/>
        </xdr:nvCxnSpPr>
        <xdr:spPr>
          <a:xfrm flipH="1">
            <a:off x="2609851" y="10739437"/>
            <a:ext cx="147637" cy="0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4" name="Straight Connector 93"/>
          <xdr:cNvCxnSpPr/>
        </xdr:nvCxnSpPr>
        <xdr:spPr>
          <a:xfrm>
            <a:off x="2890837" y="9906000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Straight Connector 94"/>
          <xdr:cNvCxnSpPr/>
        </xdr:nvCxnSpPr>
        <xdr:spPr>
          <a:xfrm>
            <a:off x="2452687" y="9910762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" name="Straight Arrow Connector 98"/>
          <xdr:cNvCxnSpPr/>
        </xdr:nvCxnSpPr>
        <xdr:spPr>
          <a:xfrm>
            <a:off x="2452687" y="10020299"/>
            <a:ext cx="442913" cy="1"/>
          </a:xfrm>
          <a:prstGeom prst="straightConnector1">
            <a:avLst/>
          </a:prstGeom>
          <a:ln>
            <a:headEnd type="triangl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4764</xdr:colOff>
      <xdr:row>33</xdr:row>
      <xdr:rowOff>2</xdr:rowOff>
    </xdr:from>
    <xdr:to>
      <xdr:col>0</xdr:col>
      <xdr:colOff>904876</xdr:colOff>
      <xdr:row>34</xdr:row>
      <xdr:rowOff>1</xdr:rowOff>
    </xdr:to>
    <xdr:sp macro="" textlink="">
      <xdr:nvSpPr>
        <xdr:cNvPr id="125" name="TextBox 124"/>
        <xdr:cNvSpPr txBox="1"/>
      </xdr:nvSpPr>
      <xdr:spPr>
        <a:xfrm>
          <a:off x="4764" y="6257927"/>
          <a:ext cx="900112" cy="257174"/>
        </a:xfrm>
        <a:prstGeom prst="rect">
          <a:avLst/>
        </a:prstGeom>
        <a:solidFill>
          <a:srgbClr val="AAE9F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="1">
              <a:solidFill>
                <a:schemeClr val="accent6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Lip Size =</a:t>
          </a:r>
        </a:p>
      </xdr:txBody>
    </xdr:sp>
    <xdr:clientData/>
  </xdr:twoCellAnchor>
  <xdr:twoCellAnchor>
    <xdr:from>
      <xdr:col>0</xdr:col>
      <xdr:colOff>220663</xdr:colOff>
      <xdr:row>38</xdr:row>
      <xdr:rowOff>134939</xdr:rowOff>
    </xdr:from>
    <xdr:to>
      <xdr:col>0</xdr:col>
      <xdr:colOff>1238250</xdr:colOff>
      <xdr:row>43</xdr:row>
      <xdr:rowOff>85725</xdr:rowOff>
    </xdr:to>
    <xdr:grpSp>
      <xdr:nvGrpSpPr>
        <xdr:cNvPr id="248" name="Group 247"/>
        <xdr:cNvGrpSpPr/>
      </xdr:nvGrpSpPr>
      <xdr:grpSpPr>
        <a:xfrm>
          <a:off x="220663" y="8102321"/>
          <a:ext cx="1017587" cy="959316"/>
          <a:chOff x="4418013" y="9891713"/>
          <a:chExt cx="1017587" cy="636587"/>
        </a:xfrm>
      </xdr:grpSpPr>
      <xdr:cxnSp macro="">
        <xdr:nvCxnSpPr>
          <xdr:cNvPr id="107" name="Straight Arrow Connector 106"/>
          <xdr:cNvCxnSpPr/>
        </xdr:nvCxnSpPr>
        <xdr:spPr>
          <a:xfrm>
            <a:off x="4418013" y="10426701"/>
            <a:ext cx="246062" cy="3174"/>
          </a:xfrm>
          <a:prstGeom prst="straightConnector1">
            <a:avLst/>
          </a:prstGeom>
          <a:ln>
            <a:headEnd type="triangl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9" name="Straight Connector 108"/>
          <xdr:cNvCxnSpPr/>
        </xdr:nvCxnSpPr>
        <xdr:spPr>
          <a:xfrm>
            <a:off x="4667250" y="10375900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2" name="Straight Connector 111"/>
          <xdr:cNvCxnSpPr/>
        </xdr:nvCxnSpPr>
        <xdr:spPr>
          <a:xfrm>
            <a:off x="4419600" y="10372725"/>
            <a:ext cx="0" cy="15240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4" name="Straight Connector 113"/>
          <xdr:cNvCxnSpPr/>
        </xdr:nvCxnSpPr>
        <xdr:spPr>
          <a:xfrm>
            <a:off x="4705350" y="9891713"/>
            <a:ext cx="228600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5" name="Straight Connector 114"/>
          <xdr:cNvCxnSpPr/>
        </xdr:nvCxnSpPr>
        <xdr:spPr>
          <a:xfrm>
            <a:off x="4719638" y="10310813"/>
            <a:ext cx="228600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7" name="Straight Arrow Connector 116"/>
          <xdr:cNvCxnSpPr/>
        </xdr:nvCxnSpPr>
        <xdr:spPr>
          <a:xfrm>
            <a:off x="4832350" y="9896475"/>
            <a:ext cx="0" cy="404813"/>
          </a:xfrm>
          <a:prstGeom prst="straightConnector1">
            <a:avLst/>
          </a:prstGeom>
          <a:ln>
            <a:headEnd type="triangl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8" name="TextBox 117"/>
          <xdr:cNvSpPr txBox="1"/>
        </xdr:nvSpPr>
        <xdr:spPr>
          <a:xfrm>
            <a:off x="4757738" y="10339389"/>
            <a:ext cx="677862" cy="165287"/>
          </a:xfrm>
          <a:prstGeom prst="rect">
            <a:avLst/>
          </a:prstGeom>
          <a:solidFill>
            <a:srgbClr val="AAE9F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200" b="1">
                <a:solidFill>
                  <a:srgbClr val="C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Width</a:t>
            </a:r>
          </a:p>
        </xdr:txBody>
      </xdr:sp>
      <xdr:cxnSp macro="">
        <xdr:nvCxnSpPr>
          <xdr:cNvPr id="113" name="Straight Arrow Connector 112"/>
          <xdr:cNvCxnSpPr/>
        </xdr:nvCxnSpPr>
        <xdr:spPr>
          <a:xfrm flipH="1">
            <a:off x="4672012" y="10429875"/>
            <a:ext cx="160686" cy="1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9" name="TextBox 118"/>
          <xdr:cNvSpPr txBox="1"/>
        </xdr:nvSpPr>
        <xdr:spPr>
          <a:xfrm>
            <a:off x="4619625" y="10020301"/>
            <a:ext cx="600075" cy="166685"/>
          </a:xfrm>
          <a:prstGeom prst="rect">
            <a:avLst/>
          </a:prstGeom>
          <a:solidFill>
            <a:srgbClr val="AAE9F6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200"/>
              <a:t>Depth</a:t>
            </a:r>
          </a:p>
        </xdr:txBody>
      </xdr:sp>
      <xdr:sp macro="" textlink="">
        <xdr:nvSpPr>
          <xdr:cNvPr id="238" name="Rectangle 237"/>
          <xdr:cNvSpPr/>
        </xdr:nvSpPr>
        <xdr:spPr>
          <a:xfrm>
            <a:off x="4419600" y="9896475"/>
            <a:ext cx="238125" cy="409575"/>
          </a:xfrm>
          <a:prstGeom prst="rect">
            <a:avLst/>
          </a:prstGeom>
          <a:solidFill>
            <a:srgbClr val="94744A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0</xdr:col>
      <xdr:colOff>4764</xdr:colOff>
      <xdr:row>34</xdr:row>
      <xdr:rowOff>0</xdr:rowOff>
    </xdr:from>
    <xdr:to>
      <xdr:col>0</xdr:col>
      <xdr:colOff>904876</xdr:colOff>
      <xdr:row>35</xdr:row>
      <xdr:rowOff>0</xdr:rowOff>
    </xdr:to>
    <xdr:sp macro="" textlink="">
      <xdr:nvSpPr>
        <xdr:cNvPr id="126" name="TextBox 125"/>
        <xdr:cNvSpPr txBox="1"/>
      </xdr:nvSpPr>
      <xdr:spPr>
        <a:xfrm>
          <a:off x="4764" y="6515100"/>
          <a:ext cx="900112" cy="257175"/>
        </a:xfrm>
        <a:prstGeom prst="rect">
          <a:avLst/>
        </a:prstGeom>
        <a:solidFill>
          <a:srgbClr val="AAE9F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Width =</a:t>
          </a:r>
        </a:p>
      </xdr:txBody>
    </xdr:sp>
    <xdr:clientData/>
  </xdr:twoCellAnchor>
  <xdr:twoCellAnchor>
    <xdr:from>
      <xdr:col>0</xdr:col>
      <xdr:colOff>15969</xdr:colOff>
      <xdr:row>45</xdr:row>
      <xdr:rowOff>4762</xdr:rowOff>
    </xdr:from>
    <xdr:to>
      <xdr:col>0</xdr:col>
      <xdr:colOff>906557</xdr:colOff>
      <xdr:row>45</xdr:row>
      <xdr:rowOff>242887</xdr:rowOff>
    </xdr:to>
    <xdr:sp macro="" textlink="">
      <xdr:nvSpPr>
        <xdr:cNvPr id="127" name="TextBox 126"/>
        <xdr:cNvSpPr txBox="1"/>
      </xdr:nvSpPr>
      <xdr:spPr>
        <a:xfrm>
          <a:off x="15969" y="9081527"/>
          <a:ext cx="890588" cy="238125"/>
        </a:xfrm>
        <a:prstGeom prst="rect">
          <a:avLst/>
        </a:prstGeom>
        <a:solidFill>
          <a:srgbClr val="AAE9F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Width</a:t>
          </a:r>
          <a:r>
            <a:rPr lang="en-US" sz="12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=</a:t>
          </a:r>
        </a:p>
      </xdr:txBody>
    </xdr:sp>
    <xdr:clientData/>
  </xdr:twoCellAnchor>
  <xdr:twoCellAnchor>
    <xdr:from>
      <xdr:col>0</xdr:col>
      <xdr:colOff>9525</xdr:colOff>
      <xdr:row>3</xdr:row>
      <xdr:rowOff>2644</xdr:rowOff>
    </xdr:from>
    <xdr:to>
      <xdr:col>0</xdr:col>
      <xdr:colOff>1838324</xdr:colOff>
      <xdr:row>5</xdr:row>
      <xdr:rowOff>180974</xdr:rowOff>
    </xdr:to>
    <xdr:sp macro="" textlink="">
      <xdr:nvSpPr>
        <xdr:cNvPr id="7" name="TextBox 6"/>
        <xdr:cNvSpPr txBox="1"/>
      </xdr:nvSpPr>
      <xdr:spPr>
        <a:xfrm>
          <a:off x="9525" y="707494"/>
          <a:ext cx="1828799" cy="568855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latin typeface="Arial Narrow" panose="020B0606020202030204" pitchFamily="34" charset="0"/>
              <a:cs typeface="Arial" panose="020B0604020202020204" pitchFamily="34" charset="0"/>
            </a:rPr>
            <a:t>Enter Core-type # below </a:t>
          </a:r>
          <a:r>
            <a:rPr lang="en-US" sz="1400" b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(Yellow</a:t>
          </a:r>
          <a:r>
            <a:rPr lang="en-US" sz="1400" b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Box)</a:t>
          </a:r>
          <a:endParaRPr lang="en-US" sz="1400">
            <a:effectLst/>
            <a:latin typeface="Arial Narrow" panose="020B0606020202030204" pitchFamily="34" charset="0"/>
          </a:endParaRPr>
        </a:p>
        <a:p>
          <a:pPr algn="ctr"/>
          <a:r>
            <a:rPr lang="en-US" sz="1400" b="1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0</xdr:col>
      <xdr:colOff>10583</xdr:colOff>
      <xdr:row>11</xdr:row>
      <xdr:rowOff>1</xdr:rowOff>
    </xdr:from>
    <xdr:to>
      <xdr:col>0</xdr:col>
      <xdr:colOff>674077</xdr:colOff>
      <xdr:row>13</xdr:row>
      <xdr:rowOff>0</xdr:rowOff>
    </xdr:to>
    <xdr:sp macro="" textlink="">
      <xdr:nvSpPr>
        <xdr:cNvPr id="11" name="TextBox 10"/>
        <xdr:cNvSpPr txBox="1"/>
      </xdr:nvSpPr>
      <xdr:spPr>
        <a:xfrm>
          <a:off x="10583" y="2505076"/>
          <a:ext cx="663494" cy="257174"/>
        </a:xfrm>
        <a:prstGeom prst="rect">
          <a:avLst/>
        </a:prstGeom>
        <a:solidFill>
          <a:srgbClr val="AAE9F6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1195389</xdr:colOff>
      <xdr:row>11</xdr:row>
      <xdr:rowOff>1</xdr:rowOff>
    </xdr:from>
    <xdr:to>
      <xdr:col>0</xdr:col>
      <xdr:colOff>1839059</xdr:colOff>
      <xdr:row>13</xdr:row>
      <xdr:rowOff>0</xdr:rowOff>
    </xdr:to>
    <xdr:sp macro="" textlink="">
      <xdr:nvSpPr>
        <xdr:cNvPr id="103" name="TextBox 102"/>
        <xdr:cNvSpPr txBox="1"/>
      </xdr:nvSpPr>
      <xdr:spPr>
        <a:xfrm>
          <a:off x="1195389" y="2486026"/>
          <a:ext cx="643670" cy="257174"/>
        </a:xfrm>
        <a:prstGeom prst="rect">
          <a:avLst/>
        </a:prstGeom>
        <a:solidFill>
          <a:srgbClr val="AAE9F6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12090</xdr:colOff>
      <xdr:row>15</xdr:row>
      <xdr:rowOff>0</xdr:rowOff>
    </xdr:from>
    <xdr:to>
      <xdr:col>0</xdr:col>
      <xdr:colOff>1036027</xdr:colOff>
      <xdr:row>17</xdr:row>
      <xdr:rowOff>250949</xdr:rowOff>
    </xdr:to>
    <xdr:sp macro="" textlink="">
      <xdr:nvSpPr>
        <xdr:cNvPr id="104" name="TextBox 103"/>
        <xdr:cNvSpPr txBox="1"/>
      </xdr:nvSpPr>
      <xdr:spPr>
        <a:xfrm>
          <a:off x="12090" y="3076575"/>
          <a:ext cx="1023937" cy="555749"/>
        </a:xfrm>
        <a:prstGeom prst="rect">
          <a:avLst/>
        </a:prstGeom>
        <a:solidFill>
          <a:srgbClr val="FFFFCC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latin typeface="Arial Narrow" panose="020B0606020202030204" pitchFamily="34" charset="0"/>
              <a:cs typeface="Arial" panose="020B0604020202020204" pitchFamily="34" charset="0"/>
            </a:rPr>
            <a:t>Mortise Lock</a:t>
          </a:r>
          <a:r>
            <a:rPr lang="en-US" sz="1200" b="1" baseline="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en-US" sz="1200" b="1" baseline="0">
              <a:latin typeface="Arial Narrow" panose="020B0606020202030204" pitchFamily="34" charset="0"/>
              <a:cs typeface="Arial" panose="020B0604020202020204" pitchFamily="34" charset="0"/>
            </a:rPr>
            <a:t>to Cutout</a:t>
          </a:r>
          <a:endParaRPr lang="en-US" sz="1200" b="1"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16335</xdr:colOff>
      <xdr:row>19</xdr:row>
      <xdr:rowOff>1</xdr:rowOff>
    </xdr:from>
    <xdr:to>
      <xdr:col>0</xdr:col>
      <xdr:colOff>1020856</xdr:colOff>
      <xdr:row>21</xdr:row>
      <xdr:rowOff>235324</xdr:rowOff>
    </xdr:to>
    <xdr:sp macro="" textlink="">
      <xdr:nvSpPr>
        <xdr:cNvPr id="121" name="TextBox 120"/>
        <xdr:cNvSpPr txBox="1"/>
      </xdr:nvSpPr>
      <xdr:spPr>
        <a:xfrm>
          <a:off x="16335" y="3989295"/>
          <a:ext cx="1004521" cy="537882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latin typeface="Arial Narrow" panose="020B0606020202030204" pitchFamily="34" charset="0"/>
              <a:cs typeface="Arial" panose="020B0604020202020204" pitchFamily="34" charset="0"/>
            </a:rPr>
            <a:t>161 Cyl Bore</a:t>
          </a:r>
          <a:r>
            <a:rPr lang="en-US" sz="1200" b="1" baseline="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 Narrow" panose="020B0606020202030204" pitchFamily="34" charset="0"/>
              <a:cs typeface="Arial" panose="020B0604020202020204" pitchFamily="34" charset="0"/>
            </a:rPr>
            <a:t>to Cutout</a:t>
          </a:r>
        </a:p>
      </xdr:txBody>
    </xdr:sp>
    <xdr:clientData/>
  </xdr:twoCellAnchor>
  <xdr:twoCellAnchor>
    <xdr:from>
      <xdr:col>9</xdr:col>
      <xdr:colOff>4024312</xdr:colOff>
      <xdr:row>60</xdr:row>
      <xdr:rowOff>138112</xdr:rowOff>
    </xdr:from>
    <xdr:to>
      <xdr:col>9</xdr:col>
      <xdr:colOff>4510087</xdr:colOff>
      <xdr:row>60</xdr:row>
      <xdr:rowOff>138113</xdr:rowOff>
    </xdr:to>
    <xdr:cxnSp macro="">
      <xdr:nvCxnSpPr>
        <xdr:cNvPr id="105" name="Straight Connector 104"/>
        <xdr:cNvCxnSpPr/>
      </xdr:nvCxnSpPr>
      <xdr:spPr>
        <a:xfrm>
          <a:off x="15347420" y="10721445"/>
          <a:ext cx="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65"/>
  <sheetViews>
    <sheetView showGridLines="0" showRowColHeaders="0" tabSelected="1" showRuler="0" showWhiteSpace="0" zoomScale="85" zoomScaleNormal="85" workbookViewId="0">
      <selection activeCell="AA28" sqref="AA28"/>
    </sheetView>
  </sheetViews>
  <sheetFormatPr defaultRowHeight="15" x14ac:dyDescent="0.2"/>
  <cols>
    <col min="1" max="1" width="24.25" style="3" customWidth="1"/>
    <col min="2" max="2" width="27" style="1" customWidth="1"/>
    <col min="3" max="3" width="13.875" style="1" customWidth="1"/>
    <col min="4" max="4" width="3.25" style="1" customWidth="1"/>
    <col min="5" max="5" width="12" style="1" customWidth="1"/>
    <col min="6" max="6" width="18.125" style="1" customWidth="1"/>
    <col min="7" max="7" width="77.125" style="1" customWidth="1"/>
    <col min="8" max="8" width="9.375" style="1" hidden="1" customWidth="1"/>
    <col min="9" max="9" width="9.875" style="1" hidden="1" customWidth="1"/>
    <col min="10" max="10" width="7.875" style="1" hidden="1" customWidth="1"/>
    <col min="11" max="11" width="7.125" style="1" hidden="1" customWidth="1"/>
    <col min="12" max="12" width="11" style="7" hidden="1" customWidth="1"/>
    <col min="13" max="13" width="12.625" style="2" hidden="1" customWidth="1"/>
    <col min="14" max="14" width="3.375" style="6" hidden="1" customWidth="1"/>
    <col min="15" max="15" width="9.75" style="5" hidden="1" customWidth="1"/>
    <col min="16" max="16" width="8.625" style="1" hidden="1" customWidth="1"/>
    <col min="17" max="17" width="2.875" style="1" hidden="1" customWidth="1"/>
    <col min="18" max="18" width="3" style="1" hidden="1" customWidth="1"/>
    <col min="19" max="19" width="2.75" style="1" hidden="1" customWidth="1"/>
    <col min="20" max="20" width="3.125" style="1" hidden="1" customWidth="1"/>
    <col min="21" max="25" width="0" style="1" hidden="1" customWidth="1"/>
    <col min="26" max="16384" width="9" style="1"/>
  </cols>
  <sheetData>
    <row r="1" spans="1:26" ht="19.5" customHeight="1" thickTop="1" x14ac:dyDescent="0.25">
      <c r="A1" s="267" t="s">
        <v>185</v>
      </c>
      <c r="B1" s="272" t="s">
        <v>109</v>
      </c>
      <c r="C1" s="274" t="s">
        <v>30</v>
      </c>
      <c r="D1" s="276" t="s">
        <v>36</v>
      </c>
      <c r="E1" s="291" t="s">
        <v>29</v>
      </c>
      <c r="F1" s="189"/>
      <c r="G1" s="190"/>
      <c r="H1" s="65">
        <v>1</v>
      </c>
      <c r="I1" s="66"/>
      <c r="J1" s="67" t="s">
        <v>76</v>
      </c>
      <c r="K1" s="18"/>
      <c r="L1" s="68" t="s">
        <v>81</v>
      </c>
      <c r="M1" s="69">
        <f>C7</f>
        <v>79.125</v>
      </c>
      <c r="N1" s="110" t="s">
        <v>46</v>
      </c>
      <c r="O1" s="111"/>
      <c r="P1" s="18"/>
      <c r="Q1" s="18"/>
      <c r="R1" s="18"/>
      <c r="S1" s="18"/>
      <c r="T1" s="112"/>
      <c r="U1" s="18"/>
      <c r="V1" s="18"/>
      <c r="W1" s="18"/>
      <c r="X1" s="18"/>
      <c r="Y1" s="18"/>
      <c r="Z1" s="18"/>
    </row>
    <row r="2" spans="1:26" ht="19.5" customHeight="1" thickBot="1" x14ac:dyDescent="0.3">
      <c r="A2" s="268"/>
      <c r="B2" s="273"/>
      <c r="C2" s="275"/>
      <c r="D2" s="277"/>
      <c r="E2" s="292"/>
      <c r="F2" s="22"/>
      <c r="G2" s="23"/>
      <c r="H2" s="65">
        <v>2</v>
      </c>
      <c r="I2" s="66"/>
      <c r="J2" s="67" t="s">
        <v>23</v>
      </c>
      <c r="K2" s="18"/>
      <c r="L2" s="68" t="s">
        <v>82</v>
      </c>
      <c r="M2" s="70">
        <f>C6</f>
        <v>80</v>
      </c>
      <c r="N2" s="110" t="s">
        <v>47</v>
      </c>
      <c r="O2" s="113">
        <v>1</v>
      </c>
      <c r="P2" s="101" t="s">
        <v>137</v>
      </c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5" customHeight="1" thickTop="1" x14ac:dyDescent="0.2">
      <c r="A3" s="269"/>
      <c r="B3" s="305" t="s">
        <v>77</v>
      </c>
      <c r="C3" s="305"/>
      <c r="D3" s="305"/>
      <c r="E3" s="306"/>
      <c r="F3" s="205"/>
      <c r="G3" s="23"/>
      <c r="H3" s="65">
        <v>3</v>
      </c>
      <c r="I3" s="66"/>
      <c r="J3" s="71" t="s">
        <v>0</v>
      </c>
      <c r="K3" s="66"/>
      <c r="L3" s="71" t="s">
        <v>9</v>
      </c>
      <c r="M3" s="72">
        <f>C8</f>
        <v>24</v>
      </c>
      <c r="N3" s="114" t="s">
        <v>48</v>
      </c>
      <c r="O3" s="113">
        <v>0.6875</v>
      </c>
      <c r="P3" s="101" t="s">
        <v>138</v>
      </c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" customHeight="1" x14ac:dyDescent="0.2">
      <c r="A4" s="198"/>
      <c r="B4" s="316" t="s">
        <v>107</v>
      </c>
      <c r="C4" s="316"/>
      <c r="D4" s="316"/>
      <c r="E4" s="317"/>
      <c r="F4" s="205"/>
      <c r="G4" s="23"/>
      <c r="H4" s="65">
        <v>4</v>
      </c>
      <c r="I4" s="66"/>
      <c r="J4" s="71" t="s">
        <v>1</v>
      </c>
      <c r="K4" s="66"/>
      <c r="L4" s="71" t="s">
        <v>14</v>
      </c>
      <c r="M4" s="72">
        <f>C10</f>
        <v>8</v>
      </c>
      <c r="N4" s="114" t="s">
        <v>49</v>
      </c>
      <c r="O4" s="113">
        <v>0.75</v>
      </c>
      <c r="P4" s="115" t="s">
        <v>139</v>
      </c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.75" customHeight="1" thickBot="1" x14ac:dyDescent="0.25">
      <c r="A5" s="159"/>
      <c r="B5" s="158"/>
      <c r="C5" s="11" t="s">
        <v>15</v>
      </c>
      <c r="D5" s="307" t="s">
        <v>19</v>
      </c>
      <c r="E5" s="308"/>
      <c r="F5" s="58"/>
      <c r="G5" s="180"/>
      <c r="H5" s="65">
        <v>5</v>
      </c>
      <c r="I5" s="66"/>
      <c r="J5" s="73" t="s">
        <v>103</v>
      </c>
      <c r="K5" s="66"/>
      <c r="L5" s="74" t="s">
        <v>102</v>
      </c>
      <c r="M5" s="69">
        <f>(M4+M3)</f>
        <v>32</v>
      </c>
      <c r="N5" s="110" t="s">
        <v>50</v>
      </c>
      <c r="O5" s="113">
        <v>0.5</v>
      </c>
      <c r="P5" s="50" t="s">
        <v>140</v>
      </c>
      <c r="Q5" s="18"/>
      <c r="R5" s="46"/>
      <c r="S5" s="18"/>
      <c r="T5" s="18"/>
      <c r="U5" s="18"/>
      <c r="V5" s="18"/>
      <c r="W5" s="18"/>
      <c r="X5" s="18"/>
      <c r="Y5" s="18"/>
      <c r="Z5" s="18"/>
    </row>
    <row r="6" spans="1:26" ht="14.25" customHeight="1" thickTop="1" x14ac:dyDescent="0.2">
      <c r="A6" s="226"/>
      <c r="B6" s="148" t="s">
        <v>21</v>
      </c>
      <c r="C6" s="4">
        <v>80</v>
      </c>
      <c r="D6" s="12" t="s">
        <v>108</v>
      </c>
      <c r="E6" s="206" t="str">
        <f>TEXT(C6,"0" &amp;IF(ABS(C6-ROUND(C6,0))&gt;1/64, " 0/"&amp;CHOOSE(MATCH(MIN(ABS(ROUND(C6*{2,4,8,16,32},0)-C6*{2,4,8,16,32})/{2,4,8,16,32}),ABS(ROUND(C6*{2,4,8,16,32},0)-C6*{2,4,8,16,32})/{2,4,8,16,32},0),2,4,8,16,32),""))&amp;""""</f>
        <v>80"</v>
      </c>
      <c r="F6" s="205"/>
      <c r="G6" s="23"/>
      <c r="H6" s="65">
        <v>6</v>
      </c>
      <c r="I6" s="66"/>
      <c r="J6" s="71" t="s">
        <v>8</v>
      </c>
      <c r="K6" s="66"/>
      <c r="L6" s="71" t="s">
        <v>11</v>
      </c>
      <c r="M6" s="72">
        <f>C18</f>
        <v>2.75</v>
      </c>
      <c r="N6" s="114" t="s">
        <v>51</v>
      </c>
      <c r="O6" s="113">
        <f>A35</f>
        <v>0.375</v>
      </c>
      <c r="P6" s="45" t="s">
        <v>141</v>
      </c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9.5" customHeight="1" x14ac:dyDescent="0.25">
      <c r="A7" s="225" t="s">
        <v>188</v>
      </c>
      <c r="B7" s="149" t="s">
        <v>76</v>
      </c>
      <c r="C7" s="9">
        <v>79.125</v>
      </c>
      <c r="D7" s="12" t="s">
        <v>108</v>
      </c>
      <c r="E7" s="206" t="str">
        <f>TEXT(C7,"0" &amp;IF(ABS(C7-ROUND(C7,0))&gt;1/64, " 0/"&amp;CHOOSE(MATCH(MIN(ABS(ROUND(C7*{2,4,8,16,32},0)-C7*{2,4,8,16,32})/{2,4,8,16,32}),ABS(ROUND(C7*{2,4,8,16,32},0)-C7*{2,4,8,16,32})/{2,4,8,16,32},0),2,4,8,16,32),""))&amp;""""</f>
        <v>79 1/8"</v>
      </c>
      <c r="F7" s="205"/>
      <c r="G7" s="181"/>
      <c r="H7" s="65">
        <v>7</v>
      </c>
      <c r="I7" s="66"/>
      <c r="J7" s="75" t="s">
        <v>114</v>
      </c>
      <c r="K7" s="76">
        <f>C19</f>
        <v>2.125</v>
      </c>
      <c r="L7" s="71" t="s">
        <v>6</v>
      </c>
      <c r="M7" s="72">
        <f>(K7/2)</f>
        <v>1.0625</v>
      </c>
      <c r="N7" s="114" t="s">
        <v>52</v>
      </c>
      <c r="O7" s="113">
        <f>A34</f>
        <v>0.25</v>
      </c>
      <c r="P7" s="50" t="s">
        <v>143</v>
      </c>
      <c r="Q7" s="46"/>
      <c r="R7" s="18"/>
      <c r="S7" s="18"/>
      <c r="T7" s="18"/>
      <c r="U7" s="18"/>
      <c r="V7" s="18"/>
      <c r="W7" s="18"/>
      <c r="X7" s="18"/>
      <c r="Y7" s="18"/>
      <c r="Z7" s="18"/>
    </row>
    <row r="8" spans="1:26" ht="19.5" customHeight="1" thickBot="1" x14ac:dyDescent="0.25">
      <c r="A8" s="227" t="s">
        <v>190</v>
      </c>
      <c r="B8" s="148" t="s">
        <v>20</v>
      </c>
      <c r="C8" s="4">
        <v>24</v>
      </c>
      <c r="D8" s="12" t="s">
        <v>108</v>
      </c>
      <c r="E8" s="206" t="str">
        <f>TEXT(C8,"0" &amp;IF(ABS(C8-ROUND(C8,0))&gt;1/64, " 0/"&amp;CHOOSE(MATCH(MIN(ABS(ROUND(C8*{2,4,8,16,32},0)-C8*{2,4,8,16,32})/{2,4,8,16,32}),ABS(ROUND(C8*{2,4,8,16,32},0)-C8*{2,4,8,16,32})/{2,4,8,16,32},0),2,4,8,16,32),""))&amp;""""</f>
        <v>24"</v>
      </c>
      <c r="F8" s="205"/>
      <c r="G8" s="182"/>
      <c r="H8" s="65">
        <v>8</v>
      </c>
      <c r="I8" s="66"/>
      <c r="J8" s="71" t="s">
        <v>2</v>
      </c>
      <c r="K8" s="66"/>
      <c r="L8" s="71" t="s">
        <v>12</v>
      </c>
      <c r="M8" s="72">
        <f>C9</f>
        <v>6</v>
      </c>
      <c r="N8" s="114" t="s">
        <v>53</v>
      </c>
      <c r="O8" s="113">
        <f>A46</f>
        <v>0.5</v>
      </c>
      <c r="P8" s="50" t="s">
        <v>142</v>
      </c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9.5" customHeight="1" thickBot="1" x14ac:dyDescent="0.25">
      <c r="A9" s="223" t="s">
        <v>187</v>
      </c>
      <c r="B9" s="148" t="s">
        <v>18</v>
      </c>
      <c r="C9" s="4">
        <v>6</v>
      </c>
      <c r="D9" s="12" t="s">
        <v>108</v>
      </c>
      <c r="E9" s="206" t="str">
        <f>TEXT(C9,"0" &amp;IF(ABS(C9-ROUND(C9,0))&gt;1/64, " 0/"&amp;CHOOSE(MATCH(MIN(ABS(ROUND(C9*{2,4,8,16,32},0)-C9*{2,4,8,16,32})/{2,4,8,16,32}),ABS(ROUND(C9*{2,4,8,16,32},0)-C9*{2,4,8,16,32})/{2,4,8,16,32},0),2,4,8,16,32),""))&amp;""""</f>
        <v>6"</v>
      </c>
      <c r="F9" s="59"/>
      <c r="G9" s="182"/>
      <c r="H9" s="65">
        <v>9</v>
      </c>
      <c r="I9" s="66"/>
      <c r="J9" s="71" t="s">
        <v>3</v>
      </c>
      <c r="K9" s="66"/>
      <c r="L9" s="71" t="s">
        <v>13</v>
      </c>
      <c r="M9" s="72">
        <f>C11</f>
        <v>39.5625</v>
      </c>
      <c r="N9" s="116" t="s">
        <v>54</v>
      </c>
      <c r="O9" s="117">
        <f>M2-M5-0.125</f>
        <v>47.875</v>
      </c>
      <c r="P9" s="118" t="s">
        <v>150</v>
      </c>
      <c r="Q9" s="119"/>
      <c r="R9" s="119"/>
      <c r="S9" s="119"/>
      <c r="T9" s="18"/>
      <c r="U9" s="18"/>
      <c r="V9" s="18"/>
      <c r="W9" s="18"/>
      <c r="X9" s="18"/>
      <c r="Y9" s="18"/>
      <c r="Z9" s="18"/>
    </row>
    <row r="10" spans="1:26" ht="19.5" customHeight="1" x14ac:dyDescent="0.2">
      <c r="A10" s="228" t="s">
        <v>191</v>
      </c>
      <c r="B10" s="148" t="s">
        <v>1</v>
      </c>
      <c r="C10" s="4">
        <v>8</v>
      </c>
      <c r="D10" s="12" t="s">
        <v>108</v>
      </c>
      <c r="E10" s="206" t="str">
        <f>TEXT(C10,"0" &amp;IF(ABS(C10-ROUND(C10,0))&gt;1/64, " 0/"&amp;CHOOSE(MATCH(MIN(ABS(ROUND(C10*{2,4,8,16,32},0)-C10*{2,4,8,16,32})/{2,4,8,16,32}),ABS(ROUND(C10*{2,4,8,16,32},0)-C10*{2,4,8,16,32})/{2,4,8,16,32},0),2,4,8,16,32),""))&amp;""""</f>
        <v>8"</v>
      </c>
      <c r="F10" s="59"/>
      <c r="G10" s="182"/>
      <c r="H10" s="65">
        <v>10</v>
      </c>
      <c r="I10" s="66"/>
      <c r="J10" s="18"/>
      <c r="K10" s="18"/>
      <c r="L10" s="68" t="s">
        <v>69</v>
      </c>
      <c r="M10" s="72">
        <f>M8-M6</f>
        <v>3.25</v>
      </c>
      <c r="N10" s="114" t="s">
        <v>55</v>
      </c>
      <c r="O10" s="113">
        <f>O9+O2</f>
        <v>48.875</v>
      </c>
      <c r="P10" s="101" t="s">
        <v>144</v>
      </c>
      <c r="Q10" s="18"/>
      <c r="R10" s="46"/>
      <c r="S10" s="18"/>
      <c r="T10" s="18"/>
      <c r="U10" s="18"/>
      <c r="V10" s="18"/>
      <c r="W10" s="18"/>
      <c r="X10" s="18"/>
      <c r="Y10" s="18"/>
      <c r="Z10" s="18"/>
    </row>
    <row r="11" spans="1:26" ht="18.75" customHeight="1" x14ac:dyDescent="0.2">
      <c r="A11" s="229" t="s">
        <v>189</v>
      </c>
      <c r="B11" s="148" t="s">
        <v>37</v>
      </c>
      <c r="C11" s="4">
        <v>39.5625</v>
      </c>
      <c r="D11" s="12" t="s">
        <v>108</v>
      </c>
      <c r="E11" s="206" t="str">
        <f>TEXT(C11,"0" &amp;IF(ABS(C11-ROUND(C11,0))&gt;1/64, " 0/"&amp;CHOOSE(MATCH(MIN(ABS(ROUND(C11*{2,4,8,16,32},0)-C11*{2,4,8,16,32})/{2,4,8,16,32}),ABS(ROUND(C11*{2,4,8,16,32},0)-C11*{2,4,8,16,32})/{2,4,8,16,32},0),2,4,8,16,32),""))&amp;""""</f>
        <v>39 9/16"</v>
      </c>
      <c r="F11" s="60"/>
      <c r="G11" s="182"/>
      <c r="H11" s="65">
        <v>11</v>
      </c>
      <c r="I11" s="66"/>
      <c r="J11" s="71" t="s">
        <v>16</v>
      </c>
      <c r="K11" s="18"/>
      <c r="L11" s="71" t="s">
        <v>4</v>
      </c>
      <c r="M11" s="72">
        <f>(M9-M5)</f>
        <v>7.5625</v>
      </c>
      <c r="N11" s="114" t="s">
        <v>56</v>
      </c>
      <c r="O11" s="113">
        <f>O9-O3</f>
        <v>47.1875</v>
      </c>
      <c r="P11" s="101" t="s">
        <v>145</v>
      </c>
      <c r="Q11" s="46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5.25" customHeight="1" x14ac:dyDescent="0.2">
      <c r="A12" s="283">
        <v>1</v>
      </c>
      <c r="B12" s="150"/>
      <c r="C12" s="15"/>
      <c r="D12" s="12"/>
      <c r="E12" s="206"/>
      <c r="F12" s="59"/>
      <c r="G12" s="182"/>
      <c r="H12" s="65"/>
      <c r="I12" s="66"/>
      <c r="J12" s="71"/>
      <c r="K12" s="71"/>
      <c r="L12" s="55"/>
      <c r="M12" s="72"/>
      <c r="N12" s="114"/>
      <c r="O12" s="120"/>
      <c r="P12" s="10"/>
      <c r="Q12" s="46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" customHeight="1" x14ac:dyDescent="0.25">
      <c r="A13" s="284"/>
      <c r="B13" s="151" t="s">
        <v>31</v>
      </c>
      <c r="C13" s="14"/>
      <c r="D13" s="12"/>
      <c r="E13" s="207"/>
      <c r="F13" s="59"/>
      <c r="G13" s="182"/>
      <c r="H13" s="77" t="s">
        <v>45</v>
      </c>
      <c r="I13" s="66"/>
      <c r="J13" s="74" t="s">
        <v>98</v>
      </c>
      <c r="K13" s="71"/>
      <c r="L13" s="68" t="s">
        <v>78</v>
      </c>
      <c r="M13" s="72">
        <f>C14</f>
        <v>4.25</v>
      </c>
      <c r="N13" s="114" t="s">
        <v>57</v>
      </c>
      <c r="O13" s="113">
        <f>O9+O4</f>
        <v>48.625</v>
      </c>
      <c r="P13" s="115" t="s">
        <v>146</v>
      </c>
      <c r="Q13" s="46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8.75" x14ac:dyDescent="0.3">
      <c r="A14" s="270" t="str">
        <f>IF(A12=0,"Spacing Compliance Check is OFF",IF(A12=1,"Mineral Core with Metal Lite Kit Selected",IF(A12=2," Agrifiber Core with  Metal Lite Kit Selected",IF(A12=3," 20 minute core with  Metal Lite Kit Selected",IF(A12=4,"20 minute Core with Wood Lite Kit Selected",IF(A12&gt;4,"Incorrect Selection"))))))</f>
        <v>Mineral Core with Metal Lite Kit Selected</v>
      </c>
      <c r="B14" s="152" t="s">
        <v>34</v>
      </c>
      <c r="C14" s="4">
        <v>4.25</v>
      </c>
      <c r="D14" s="12" t="s">
        <v>108</v>
      </c>
      <c r="E14" s="206" t="str">
        <f>TEXT(C14,"0" &amp;IF(ABS(C14-ROUND(C14,0))&gt;1/64, " 0/"&amp;CHOOSE(MATCH(MIN(ABS(ROUND(C14*{2,4,8,16,32},0)-C14*{2,4,8,16,32})/{2,4,8,16,32}),ABS(ROUND(C14*{2,4,8,16,32},0)-C14*{2,4,8,16,32})/{2,4,8,16,32},0),2,4,8,16,32),""))&amp;""""</f>
        <v>4 1/4"</v>
      </c>
      <c r="F14" s="61"/>
      <c r="G14" s="183"/>
      <c r="H14" s="77" t="s">
        <v>44</v>
      </c>
      <c r="I14" s="66"/>
      <c r="J14" s="74" t="s">
        <v>99</v>
      </c>
      <c r="K14" s="66"/>
      <c r="L14" s="78" t="s">
        <v>79</v>
      </c>
      <c r="M14" s="72">
        <f>C15</f>
        <v>6.5</v>
      </c>
      <c r="N14" s="114" t="s">
        <v>58</v>
      </c>
      <c r="O14" s="113">
        <f>O9-O5</f>
        <v>47.375</v>
      </c>
      <c r="P14" s="50" t="s">
        <v>147</v>
      </c>
      <c r="Q14" s="46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8" customHeight="1" x14ac:dyDescent="0.2">
      <c r="A15" s="271"/>
      <c r="B15" s="152" t="s">
        <v>35</v>
      </c>
      <c r="C15" s="4">
        <v>6.5</v>
      </c>
      <c r="D15" s="12" t="s">
        <v>108</v>
      </c>
      <c r="E15" s="206" t="str">
        <f>TEXT(C15,"0" &amp;IF(ABS(C15-ROUND(C15,0))&gt;1/64, " 0/"&amp;CHOOSE(MATCH(MIN(ABS(ROUND(C15*{2,4,8,16,32},0)-C15*{2,4,8,16,32})/{2,4,8,16,32}),ABS(ROUND(C15*{2,4,8,16,32},0)-C15*{2,4,8,16,32})/{2,4,8,16,32},0),2,4,8,16,32),""))&amp;""""</f>
        <v>6 1/2"</v>
      </c>
      <c r="F15" s="62"/>
      <c r="G15" s="184"/>
      <c r="H15" s="79">
        <v>15</v>
      </c>
      <c r="I15" s="18"/>
      <c r="J15" s="80" t="s">
        <v>100</v>
      </c>
      <c r="K15" s="18"/>
      <c r="L15" s="68" t="s">
        <v>80</v>
      </c>
      <c r="M15" s="81">
        <f>M9-M14/2</f>
        <v>36.3125</v>
      </c>
      <c r="N15" s="121" t="s">
        <v>59</v>
      </c>
      <c r="O15" s="113">
        <f>O9+O6</f>
        <v>48.25</v>
      </c>
      <c r="P15" s="45" t="s">
        <v>149</v>
      </c>
      <c r="Q15" s="56"/>
      <c r="R15" s="56"/>
      <c r="S15" s="18"/>
      <c r="T15" s="18"/>
      <c r="U15" s="18"/>
      <c r="V15" s="18"/>
      <c r="W15" s="18"/>
      <c r="X15" s="18"/>
      <c r="Y15" s="18"/>
      <c r="Z15" s="18"/>
    </row>
    <row r="16" spans="1:26" ht="5.25" customHeight="1" x14ac:dyDescent="0.2">
      <c r="A16" s="280" t="str">
        <f>IF(OR(A12&gt;4,A12&lt;1),"",P29)</f>
        <v>TOO CLOSE</v>
      </c>
      <c r="B16" s="153"/>
      <c r="C16" s="15"/>
      <c r="D16" s="12"/>
      <c r="E16" s="206"/>
      <c r="F16" s="10"/>
      <c r="G16" s="184"/>
      <c r="H16" s="79"/>
      <c r="I16" s="18"/>
      <c r="J16" s="18"/>
      <c r="K16" s="18"/>
      <c r="L16" s="55"/>
      <c r="M16" s="82"/>
      <c r="N16" s="121"/>
      <c r="O16" s="122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8.75" customHeight="1" x14ac:dyDescent="0.2">
      <c r="A17" s="281"/>
      <c r="B17" s="154" t="s">
        <v>115</v>
      </c>
      <c r="C17" s="14"/>
      <c r="D17" s="12"/>
      <c r="E17" s="206"/>
      <c r="F17" s="63"/>
      <c r="G17" s="184"/>
      <c r="H17" s="79"/>
      <c r="I17" s="18"/>
      <c r="J17" s="18"/>
      <c r="K17" s="18"/>
      <c r="L17" s="68" t="s">
        <v>72</v>
      </c>
      <c r="M17" s="83">
        <f>O21+M31-(M2-0.125-M5)</f>
        <v>-37.875</v>
      </c>
      <c r="N17" s="121" t="s">
        <v>74</v>
      </c>
      <c r="O17" s="113">
        <f>O9-O7</f>
        <v>47.625</v>
      </c>
      <c r="P17" s="50" t="s">
        <v>158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9.5" customHeight="1" x14ac:dyDescent="0.2">
      <c r="A18" s="282"/>
      <c r="B18" s="155" t="s">
        <v>32</v>
      </c>
      <c r="C18" s="4">
        <v>2.75</v>
      </c>
      <c r="D18" s="12" t="s">
        <v>108</v>
      </c>
      <c r="E18" s="206" t="str">
        <f>TEXT(C18,"0" &amp;IF(ABS(C18-ROUND(C18,0))&gt;1/64, " 0/"&amp;CHOOSE(MATCH(MIN(ABS(ROUND(C18*{2,4,8,16,32},0)-C18*{2,4,8,16,32})/{2,4,8,16,32}),ABS(ROUND(C18*{2,4,8,16,32},0)-C18*{2,4,8,16,32})/{2,4,8,16,32},0),2,4,8,16,32),""))&amp;""""</f>
        <v>2 3/4"</v>
      </c>
      <c r="F18" s="59"/>
      <c r="G18" s="182"/>
      <c r="H18" s="84"/>
      <c r="I18" s="66"/>
      <c r="J18" s="71"/>
      <c r="K18" s="71"/>
      <c r="L18" s="68" t="s">
        <v>71</v>
      </c>
      <c r="M18" s="85">
        <f>M19-M21</f>
        <v>4.875</v>
      </c>
      <c r="N18" s="114" t="s">
        <v>75</v>
      </c>
      <c r="O18" s="113">
        <f>O9+O8</f>
        <v>48.375</v>
      </c>
      <c r="P18" s="50" t="s">
        <v>148</v>
      </c>
      <c r="Q18" s="18"/>
      <c r="R18" s="18"/>
      <c r="S18" s="18"/>
      <c r="T18" s="18"/>
      <c r="U18" s="10"/>
      <c r="V18" s="18"/>
      <c r="W18" s="18"/>
      <c r="X18" s="18"/>
      <c r="Y18" s="18"/>
      <c r="Z18" s="18"/>
    </row>
    <row r="19" spans="1:26" ht="18" customHeight="1" x14ac:dyDescent="0.2">
      <c r="A19" s="224"/>
      <c r="B19" s="155" t="s">
        <v>33</v>
      </c>
      <c r="C19" s="4">
        <v>2.125</v>
      </c>
      <c r="D19" s="12" t="s">
        <v>108</v>
      </c>
      <c r="E19" s="206" t="str">
        <f>TEXT(C19,"0" &amp;IF(ABS(C19-ROUND(C19,0))&gt;1/64, " 0/"&amp;CHOOSE(MATCH(MIN(ABS(ROUND(C19*{2,4,8,16,32},0)-C19*{2,4,8,16,32})/{2,4,8,16,32}),ABS(ROUND(C19*{2,4,8,16,32},0)-C19*{2,4,8,16,32})/{2,4,8,16,32},0),2,4,8,16,32),""))&amp;""""</f>
        <v>2 1/8"</v>
      </c>
      <c r="F19" s="59"/>
      <c r="G19" s="23"/>
      <c r="H19" s="77" t="s">
        <v>43</v>
      </c>
      <c r="I19" s="66"/>
      <c r="J19" s="71"/>
      <c r="K19" s="71"/>
      <c r="L19" s="68" t="s">
        <v>38</v>
      </c>
      <c r="M19" s="72">
        <f>IF(M1-M5&lt;=1,0,(M2-0.125)-(M5+M34))</f>
        <v>47.875</v>
      </c>
      <c r="N19" s="114" t="s">
        <v>60</v>
      </c>
      <c r="O19" s="113">
        <f>O9</f>
        <v>47.875</v>
      </c>
      <c r="P19" s="50" t="s">
        <v>151</v>
      </c>
      <c r="Q19" s="123"/>
      <c r="R19" s="18"/>
      <c r="S19" s="18"/>
      <c r="T19" s="18"/>
      <c r="U19" s="10"/>
      <c r="V19" s="18"/>
      <c r="W19" s="18"/>
      <c r="X19" s="18"/>
      <c r="Y19" s="18"/>
      <c r="Z19" s="18"/>
    </row>
    <row r="20" spans="1:26" ht="5.25" customHeight="1" x14ac:dyDescent="0.2">
      <c r="A20" s="278" t="str">
        <f>IF(OR(A12&gt;4,A12&lt;1),"",P30)</f>
        <v xml:space="preserve">GOOD     </v>
      </c>
      <c r="B20" s="153"/>
      <c r="C20" s="15"/>
      <c r="D20" s="12"/>
      <c r="E20" s="206"/>
      <c r="F20" s="64"/>
      <c r="G20" s="182"/>
      <c r="H20" s="65"/>
      <c r="I20" s="66"/>
      <c r="J20" s="71"/>
      <c r="K20" s="71"/>
      <c r="L20" s="55"/>
      <c r="M20" s="72"/>
      <c r="N20" s="114"/>
      <c r="O20" s="113"/>
      <c r="P20" s="10"/>
      <c r="Q20" s="18"/>
      <c r="R20" s="18"/>
      <c r="S20" s="18"/>
      <c r="T20" s="18"/>
      <c r="U20" s="10"/>
      <c r="V20" s="18"/>
      <c r="W20" s="18"/>
      <c r="X20" s="18"/>
      <c r="Y20" s="18"/>
      <c r="Z20" s="18"/>
    </row>
    <row r="21" spans="1:26" ht="18.75" customHeight="1" x14ac:dyDescent="0.2">
      <c r="A21" s="279"/>
      <c r="B21" s="148" t="s">
        <v>120</v>
      </c>
      <c r="C21" s="16">
        <f>M5</f>
        <v>32</v>
      </c>
      <c r="D21" s="12" t="s">
        <v>108</v>
      </c>
      <c r="E21" s="206" t="str">
        <f>TEXT(C21,"0" &amp;IF(ABS(C21-ROUND(C21,0))&gt;1/64, " 0/"&amp;CHOOSE(MATCH(MIN(ABS(ROUND(C21*{2,4,8,16,32},0)-C21*{2,4,8,16,32})/{2,4,8,16,32}),ABS(ROUND(C21*{2,4,8,16,32},0)-C21*{2,4,8,16,32})/{2,4,8,16,32},0),2,4,8,16,32),""))&amp;""""</f>
        <v>32"</v>
      </c>
      <c r="F21" s="59"/>
      <c r="G21" s="182"/>
      <c r="H21" s="65" t="s">
        <v>17</v>
      </c>
      <c r="I21" s="66"/>
      <c r="J21" s="71" t="s">
        <v>25</v>
      </c>
      <c r="K21" s="66"/>
      <c r="L21" s="71"/>
      <c r="M21" s="72">
        <v>43</v>
      </c>
      <c r="N21" s="114" t="s">
        <v>61</v>
      </c>
      <c r="O21" s="91">
        <v>10</v>
      </c>
      <c r="P21" s="124" t="s">
        <v>163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9.5" customHeight="1" thickBot="1" x14ac:dyDescent="0.25">
      <c r="A22" s="279"/>
      <c r="B22" s="156" t="s">
        <v>22</v>
      </c>
      <c r="C22" s="17">
        <f>M22</f>
        <v>7.5625</v>
      </c>
      <c r="D22" s="13" t="str">
        <f>IF(C22="ERROR","","=")</f>
        <v>=</v>
      </c>
      <c r="E22" s="208" t="str">
        <f>IF(C22="ERROR","",H22)</f>
        <v>7 9/16"</v>
      </c>
      <c r="F22" s="59"/>
      <c r="G22" s="182"/>
      <c r="H22" s="57" t="str">
        <f>TEXT(C22,"0" &amp;IF(ABS(C22-ROUND(C22,0))&gt;1/64, " 0/"&amp;CHOOSE(MATCH(MIN(ABS(ROUND(C22*{2,4,8,16,32},0)-C22*{2,4,8,16,32})/{2,4,8,16,32}),ABS(ROUND(C22*{2,4,8,16,32},0)-C22*{2,4,8,16,32})/{2,4,8,16,32},0),2,4,8,16,32),""))&amp;""""</f>
        <v>7 9/16"</v>
      </c>
      <c r="I22" s="66"/>
      <c r="J22" s="86" t="s">
        <v>5</v>
      </c>
      <c r="K22" s="66"/>
      <c r="L22" s="71" t="s">
        <v>7</v>
      </c>
      <c r="M22" s="72">
        <f>IF(M23="lock location error","ERROR",M23+M7)</f>
        <v>7.5625</v>
      </c>
      <c r="N22" s="114" t="s">
        <v>62</v>
      </c>
      <c r="O22" s="125">
        <v>4</v>
      </c>
      <c r="P22" s="126" t="s">
        <v>182</v>
      </c>
      <c r="Q22" s="127"/>
      <c r="R22" s="127"/>
      <c r="S22" s="128"/>
      <c r="T22" s="18"/>
      <c r="U22" s="18"/>
      <c r="V22" s="18"/>
      <c r="W22" s="18"/>
      <c r="X22" s="18"/>
      <c r="Y22" s="18"/>
      <c r="Z22" s="18"/>
    </row>
    <row r="23" spans="1:26" ht="19.5" customHeight="1" thickTop="1" thickBot="1" x14ac:dyDescent="0.25">
      <c r="A23" s="230"/>
      <c r="B23" s="309"/>
      <c r="C23" s="309"/>
      <c r="D23" s="209"/>
      <c r="E23" s="210"/>
      <c r="F23" s="211"/>
      <c r="G23" s="23"/>
      <c r="H23" s="18"/>
      <c r="I23" s="18"/>
      <c r="J23" s="87" t="s">
        <v>68</v>
      </c>
      <c r="K23" s="71"/>
      <c r="L23" s="73" t="s">
        <v>10</v>
      </c>
      <c r="M23" s="70">
        <f>IF(AND((M5-M9)&gt;=0,(M8-(M6+M7))&gt;0),M8-(M6+M7),IF(M9-M5&gt;M7,M9-(M5+M7),IF(AND((M9-M5)&gt;0,(M8-(M6+M7))&gt;0),SQRT(M11^2+M10^2)-M7,"LOCK LOCATION ERROR")))</f>
        <v>6.5</v>
      </c>
      <c r="N23" s="110" t="s">
        <v>63</v>
      </c>
      <c r="O23" s="113">
        <v>4</v>
      </c>
      <c r="P23" s="126" t="s">
        <v>183</v>
      </c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8" customHeight="1" thickTop="1" thickBot="1" x14ac:dyDescent="0.25">
      <c r="A24" s="285" t="str">
        <f>IF(OR(D34=3,D34=4),"Enter Info Below","")</f>
        <v/>
      </c>
      <c r="B24" s="314" t="s">
        <v>96</v>
      </c>
      <c r="C24" s="315"/>
      <c r="D24" s="310" t="s">
        <v>24</v>
      </c>
      <c r="E24" s="311"/>
      <c r="F24" s="218"/>
      <c r="G24" s="23"/>
      <c r="H24" s="18"/>
      <c r="I24" s="88"/>
      <c r="J24" s="18"/>
      <c r="K24" s="18"/>
      <c r="L24" s="55"/>
      <c r="M24" s="89"/>
      <c r="N24" s="110" t="s">
        <v>64</v>
      </c>
      <c r="O24" s="129">
        <v>5</v>
      </c>
      <c r="P24" s="48" t="s">
        <v>179</v>
      </c>
      <c r="Q24" s="43"/>
      <c r="R24" s="18"/>
      <c r="S24" s="130"/>
      <c r="T24" s="130"/>
      <c r="U24" s="131" t="s">
        <v>112</v>
      </c>
      <c r="V24" s="130"/>
      <c r="W24" s="130"/>
      <c r="X24" s="130"/>
      <c r="Y24" s="18"/>
      <c r="Z24" s="18"/>
    </row>
    <row r="25" spans="1:26" ht="14.25" customHeight="1" thickTop="1" x14ac:dyDescent="0.2">
      <c r="A25" s="286"/>
      <c r="B25" s="261" t="s">
        <v>118</v>
      </c>
      <c r="C25" s="262"/>
      <c r="D25" s="265" t="str">
        <f xml:space="preserve"> IF(E25="POCKET DEPTH ERROR","","=")</f>
        <v>=</v>
      </c>
      <c r="E25" s="312">
        <f>M27</f>
        <v>4.6540472977828662</v>
      </c>
      <c r="F25" s="313"/>
      <c r="G25" s="23"/>
      <c r="H25" s="18"/>
      <c r="I25" s="90"/>
      <c r="J25" s="243"/>
      <c r="K25" s="243"/>
      <c r="L25" s="244"/>
      <c r="M25" s="89">
        <f>(M27)</f>
        <v>4.6540472977828662</v>
      </c>
      <c r="N25" s="110" t="s">
        <v>86</v>
      </c>
      <c r="O25" s="129">
        <v>5</v>
      </c>
      <c r="P25" s="48" t="s">
        <v>180</v>
      </c>
      <c r="Q25" s="18"/>
      <c r="R25" s="18"/>
      <c r="S25" s="22"/>
      <c r="T25" s="18"/>
      <c r="U25" s="132" t="s">
        <v>113</v>
      </c>
      <c r="V25" s="18"/>
      <c r="W25" s="18"/>
      <c r="X25" s="18"/>
      <c r="Y25" s="18"/>
      <c r="Z25" s="18"/>
    </row>
    <row r="26" spans="1:26" ht="4.5" customHeight="1" x14ac:dyDescent="0.25">
      <c r="A26" s="157"/>
      <c r="B26" s="263"/>
      <c r="C26" s="264"/>
      <c r="D26" s="266"/>
      <c r="E26" s="312"/>
      <c r="F26" s="313"/>
      <c r="G26" s="185"/>
      <c r="H26" s="18"/>
      <c r="I26" s="18"/>
      <c r="J26" s="18"/>
      <c r="K26" s="18"/>
      <c r="L26" s="55"/>
      <c r="M26" s="91"/>
      <c r="N26" s="114"/>
      <c r="O26" s="113"/>
      <c r="P26" s="18"/>
      <c r="Q26" s="18"/>
      <c r="R26" s="18"/>
      <c r="S26" s="22"/>
      <c r="T26" s="18"/>
      <c r="U26" s="133"/>
      <c r="V26" s="18"/>
      <c r="W26" s="18"/>
      <c r="X26" s="18"/>
      <c r="Y26" s="18"/>
      <c r="Z26" s="18"/>
    </row>
    <row r="27" spans="1:26" ht="18" customHeight="1" thickBot="1" x14ac:dyDescent="0.3">
      <c r="A27" s="232" t="s">
        <v>124</v>
      </c>
      <c r="B27" s="162"/>
      <c r="C27" s="19"/>
      <c r="D27" s="20" t="str">
        <f>IF(E25="POCKET DEPTH ERROR","","or")</f>
        <v>or</v>
      </c>
      <c r="E27" s="21" t="str">
        <f>IF(E25="POCKET DEPTH ERROR","",H32)</f>
        <v>4 21/32"</v>
      </c>
      <c r="F27" s="213"/>
      <c r="G27" s="186"/>
      <c r="H27" s="92" t="str">
        <f>TEXT(E30,"0" &amp;IF(ABS(E30-ROUND(E30,0))&gt;1/64, " 0/"&amp;CHOOSE(MATCH(MIN(ABS(ROUND(E30*{2,4,8,16,32},0)-E30*{2,4,8,16,32})/{2,4,8,16,32}),ABS(ROUND(E30*{2,4,8,16,32},0)-E30*{2,4,8,16,32})/{2,4,8,16,32},0),2,4,8,16,32),""))&amp;""""</f>
        <v>6 1/2"</v>
      </c>
      <c r="I27" s="18"/>
      <c r="J27" s="93" t="s">
        <v>39</v>
      </c>
      <c r="K27" s="94"/>
      <c r="L27" s="73" t="s">
        <v>40</v>
      </c>
      <c r="M27" s="69">
        <f>IF(AND(M15-M5&lt;=0,M8-M13&gt;0),M8-M13,IF(AND(M15-M5&gt;0,M8-M13&lt;=0),M15-M5,  IF(AND(M15-M5&gt;0,M8-M13&gt;0),SQRT(M28^2+M29^2),"POCKET DEPTH ERROR")))</f>
        <v>4.6540472977828662</v>
      </c>
      <c r="N27" s="114" t="s">
        <v>65</v>
      </c>
      <c r="O27" s="111">
        <v>2.125</v>
      </c>
      <c r="P27" s="48" t="s">
        <v>174</v>
      </c>
      <c r="Q27" s="18"/>
      <c r="R27" s="18"/>
      <c r="S27" s="22"/>
      <c r="T27" s="18"/>
      <c r="U27" s="134" t="s">
        <v>105</v>
      </c>
      <c r="V27" s="18"/>
      <c r="W27" s="18"/>
      <c r="X27" s="18"/>
      <c r="Y27" s="18"/>
      <c r="Z27" s="18"/>
    </row>
    <row r="28" spans="1:26" ht="18" customHeight="1" thickTop="1" thickBot="1" x14ac:dyDescent="0.25">
      <c r="A28" s="157"/>
      <c r="B28" s="22"/>
      <c r="C28" s="22"/>
      <c r="D28" s="22"/>
      <c r="E28" s="22"/>
      <c r="F28" s="199"/>
      <c r="G28" s="23"/>
      <c r="H28" s="18"/>
      <c r="I28" s="18"/>
      <c r="J28" s="18"/>
      <c r="K28" s="18"/>
      <c r="L28" s="68" t="s">
        <v>41</v>
      </c>
      <c r="M28" s="72">
        <f>M8-M13</f>
        <v>1.75</v>
      </c>
      <c r="N28" s="114" t="s">
        <v>66</v>
      </c>
      <c r="O28" s="111">
        <v>5</v>
      </c>
      <c r="P28" s="48" t="s">
        <v>181</v>
      </c>
      <c r="Q28" s="18"/>
      <c r="R28" s="18"/>
      <c r="S28" s="135"/>
      <c r="T28" s="136"/>
      <c r="U28" s="134" t="s">
        <v>106</v>
      </c>
      <c r="V28" s="18"/>
      <c r="W28" s="18"/>
      <c r="X28" s="18"/>
      <c r="Y28" s="18"/>
      <c r="Z28" s="18"/>
    </row>
    <row r="29" spans="1:26" ht="21.75" customHeight="1" thickTop="1" thickBot="1" x14ac:dyDescent="0.25">
      <c r="A29" s="157"/>
      <c r="B29" s="303" t="s">
        <v>116</v>
      </c>
      <c r="C29" s="304"/>
      <c r="D29" s="297" t="s">
        <v>24</v>
      </c>
      <c r="E29" s="298"/>
      <c r="F29" s="214"/>
      <c r="G29" s="23"/>
      <c r="H29" s="95"/>
      <c r="I29" s="18"/>
      <c r="J29" s="18"/>
      <c r="K29" s="18"/>
      <c r="L29" s="68" t="s">
        <v>42</v>
      </c>
      <c r="M29" s="72">
        <f>M15-M5</f>
        <v>4.3125</v>
      </c>
      <c r="N29" s="114" t="s">
        <v>67</v>
      </c>
      <c r="O29" s="137">
        <f>IF(AND(M15-M5&lt;=0,M8-M13&gt;0),M8-M13,IF(AND(M15-M5&gt;0,M8-M13&lt;=0),M15-M5,  IF(AND(M15-M5&gt;0,M8-M13&gt;0),SQRT(M28^2+M29^2),0)))</f>
        <v>4.6540472977828662</v>
      </c>
      <c r="P29" s="138" t="str">
        <f>IF(AND(A12=1,O29&gt;=O24),"GOOD     ",IF(AND(A12=2,O29&gt;=O22),"GOOD     ",IF(AND(A12=3,O29&gt;=O27),"GOOD     ",IF(AND(A12=4,O29&gt;=O28),"GOOD     ","TOO CLOSE"))))</f>
        <v>TOO CLOSE</v>
      </c>
      <c r="Q29" s="18"/>
      <c r="R29" s="126" t="s">
        <v>178</v>
      </c>
      <c r="S29" s="22"/>
      <c r="T29" s="18"/>
      <c r="U29" s="134" t="s">
        <v>105</v>
      </c>
      <c r="V29" s="18"/>
      <c r="W29" s="18"/>
      <c r="X29" s="18"/>
      <c r="Y29" s="18"/>
      <c r="Z29" s="18"/>
    </row>
    <row r="30" spans="1:26" ht="18.75" customHeight="1" thickTop="1" x14ac:dyDescent="0.2">
      <c r="A30" s="157"/>
      <c r="B30" s="299" t="s">
        <v>117</v>
      </c>
      <c r="C30" s="300"/>
      <c r="D30" s="295" t="str">
        <f>IF(E30="BORE LOCATION ERROR","","=")</f>
        <v>=</v>
      </c>
      <c r="E30" s="293">
        <f>M23</f>
        <v>6.5</v>
      </c>
      <c r="F30" s="294"/>
      <c r="G30" s="23"/>
      <c r="H30" s="96"/>
      <c r="I30" s="18"/>
      <c r="J30" s="18"/>
      <c r="K30" s="18"/>
      <c r="L30" s="55"/>
      <c r="M30" s="89"/>
      <c r="N30" s="114" t="s">
        <v>83</v>
      </c>
      <c r="O30" s="111">
        <f>IF(AND((M5-M9)&gt;=0,M8-(M6+M7)&gt;0),M8-(M6+M7),IF(AND(M9-M5&gt;M7,M6-M8&gt;=0),M9-(M5+M7),IF(M9-M5&gt;0,SQRT(M11^2+M10^2)-M7,0)))</f>
        <v>7.1687761009457098</v>
      </c>
      <c r="P30" s="139" t="str">
        <f>IF(AND(A12=1,O30&gt;=O24),"GOOD     ",IF(AND(A12=2,O30&gt;=O22),"GOOD     ",IF(AND(A12=3,O30&gt;=O27),"GOOD     ",IF(AND(A12=4,O30&gt;=O28),"GOOD     ","TOO CLOSE"))))</f>
        <v xml:space="preserve">GOOD     </v>
      </c>
      <c r="Q30" s="18"/>
      <c r="R30" s="140" t="s">
        <v>30</v>
      </c>
      <c r="S30" s="22"/>
      <c r="T30" s="18"/>
      <c r="U30" s="134" t="s">
        <v>104</v>
      </c>
      <c r="V30" s="18"/>
      <c r="W30" s="18"/>
      <c r="X30" s="18"/>
      <c r="Y30" s="18"/>
      <c r="Z30" s="18"/>
    </row>
    <row r="31" spans="1:26" ht="2.25" customHeight="1" x14ac:dyDescent="0.2">
      <c r="A31" s="157"/>
      <c r="B31" s="301"/>
      <c r="C31" s="302"/>
      <c r="D31" s="296"/>
      <c r="E31" s="293"/>
      <c r="F31" s="294"/>
      <c r="G31" s="23"/>
      <c r="H31" s="97"/>
      <c r="I31" s="10"/>
      <c r="J31" s="10"/>
      <c r="K31" s="18"/>
      <c r="L31" s="55"/>
      <c r="M31" s="91"/>
      <c r="N31" s="114"/>
      <c r="O31" s="111"/>
      <c r="P31" s="10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8.75" customHeight="1" thickBot="1" x14ac:dyDescent="0.3">
      <c r="A32" s="163"/>
      <c r="B32" s="219"/>
      <c r="C32" s="220"/>
      <c r="D32" s="215" t="str">
        <f>IF(E30="LOCK LOCATION ERROR","","or")</f>
        <v>or</v>
      </c>
      <c r="E32" s="216" t="str">
        <f>IF(E30="LOCK LOCATION ERROR","",H27)</f>
        <v>6 1/2"</v>
      </c>
      <c r="F32" s="217"/>
      <c r="G32" s="23"/>
      <c r="H32" s="98" t="str">
        <f>TEXT(E25,"0" &amp;IF(ABS(E25-ROUND(E25,0))&gt;1/64, " 0/"&amp;CHOOSE(MATCH(MIN(ABS(ROUND(E25*{2,4,8,16,32},0)-E25*{2,4,8,16,32})/{2,4,8,16,32}),ABS(ROUND(E25*{2,4,8,16,32},0)-E25*{2,4,8,16,32})/{2,4,8,16,32},0),2,4,8,16,32),""))&amp;""""</f>
        <v>4 21/32"</v>
      </c>
      <c r="I32" s="18"/>
      <c r="J32" s="245" t="s">
        <v>101</v>
      </c>
      <c r="K32" s="245"/>
      <c r="L32" s="246"/>
      <c r="M32" s="72">
        <f>M2-M5-0.125</f>
        <v>47.875</v>
      </c>
      <c r="N32" s="114" t="s">
        <v>84</v>
      </c>
      <c r="O32" s="111">
        <f>O10</f>
        <v>48.875</v>
      </c>
      <c r="P32" s="50" t="s">
        <v>155</v>
      </c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8" customHeight="1" thickTop="1" thickBot="1" x14ac:dyDescent="0.25">
      <c r="A33" s="164"/>
      <c r="B33" s="211"/>
      <c r="C33" s="212"/>
      <c r="D33" s="212"/>
      <c r="E33" s="212"/>
      <c r="F33" s="222"/>
      <c r="G33" s="23"/>
      <c r="H33" s="95"/>
      <c r="I33" s="50" t="s">
        <v>129</v>
      </c>
      <c r="J33" s="10"/>
      <c r="K33" s="99"/>
      <c r="L33" s="55"/>
      <c r="M33" s="72"/>
      <c r="N33" s="114" t="s">
        <v>85</v>
      </c>
      <c r="O33" s="111">
        <f>O13</f>
        <v>48.625</v>
      </c>
      <c r="P33" s="45" t="s">
        <v>156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20.25" customHeight="1" thickTop="1" x14ac:dyDescent="0.2">
      <c r="A34" s="165">
        <v>0.25</v>
      </c>
      <c r="B34" s="248" t="s">
        <v>193</v>
      </c>
      <c r="C34" s="249"/>
      <c r="D34" s="8">
        <v>1</v>
      </c>
      <c r="E34" s="257" t="str">
        <f>IF(OR(D34&lt;1,D34&gt;4),"    Selection out of range !",IF(D34=1," = Air Louvers / Anemostat",IF(D34=2," = All Metal Stamping Lite kit",IF(D34=3, " = Wood Lip Lite Kit",IF(D34=4," = Flush Wood Lite Kit","")))))</f>
        <v xml:space="preserve"> = Air Louvers / Anemostat</v>
      </c>
      <c r="F34" s="258"/>
      <c r="G34" s="23"/>
      <c r="H34" s="100"/>
      <c r="I34" s="50" t="s">
        <v>135</v>
      </c>
      <c r="J34" s="10"/>
      <c r="K34" s="45"/>
      <c r="L34" s="101"/>
      <c r="M34" s="72"/>
      <c r="N34" s="114" t="s">
        <v>87</v>
      </c>
      <c r="O34" s="111">
        <f>O15</f>
        <v>48.25</v>
      </c>
      <c r="P34" s="50" t="s">
        <v>154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20.25" customHeight="1" x14ac:dyDescent="0.2">
      <c r="A35" s="165">
        <v>0.375</v>
      </c>
      <c r="B35" s="250" t="s">
        <v>192</v>
      </c>
      <c r="C35" s="251"/>
      <c r="D35" s="251"/>
      <c r="E35" s="251"/>
      <c r="F35" s="252"/>
      <c r="G35" s="23"/>
      <c r="H35" s="96">
        <f>IF(E39="Can't Machine Cutout",0,M19)</f>
        <v>47.875</v>
      </c>
      <c r="I35" s="50" t="s">
        <v>133</v>
      </c>
      <c r="J35" s="10"/>
      <c r="K35" s="50"/>
      <c r="L35" s="55"/>
      <c r="M35" s="102"/>
      <c r="N35" s="114" t="s">
        <v>88</v>
      </c>
      <c r="O35" s="141">
        <f>O18</f>
        <v>48.375</v>
      </c>
      <c r="P35" s="50" t="s">
        <v>157</v>
      </c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20.25" customHeight="1" thickBot="1" x14ac:dyDescent="0.25">
      <c r="A36" s="221" t="str">
        <f>IF(D34=3,"Enter Dimensions","")</f>
        <v/>
      </c>
      <c r="B36" s="259" t="str">
        <f>IF(D34=3,"Are Wood Lip Lite Kit Dimensions Correct?",IF(D34=4,"Is Flush Wood Lite Kit Dimension Correct?",""))</f>
        <v/>
      </c>
      <c r="C36" s="260"/>
      <c r="D36" s="25" t="str">
        <f>IF(OR(D34&lt;1,D34&gt;4)," Unknown # - Select 1, 2, 3, or 4","")</f>
        <v/>
      </c>
      <c r="E36" s="24"/>
      <c r="F36" s="171"/>
      <c r="G36" s="23"/>
      <c r="H36" s="53" t="str">
        <f>IF(E39&lt;&gt;"Can't Machine Cutout",TEXT(E39,"0" &amp;IF(ABS(E39-ROUND(E39,0))&gt;1/64, " 0/"&amp;CHOOSE(MATCH(MIN(ABS(ROUND(E39*{2,4,8,16,32},0)-E39*{2,4,8,16,32})/{2,4,8,16,32}),ABS(ROUND(E39*{2,4,8,16,32},0)-E39*{2,4,8,16,32})/{2,4,8,16,32},0),2,4,8,16,32),""))&amp;"""",M19)</f>
        <v>48 7/8"</v>
      </c>
      <c r="I36" s="103" t="s">
        <v>89</v>
      </c>
      <c r="J36" s="10"/>
      <c r="K36" s="18"/>
      <c r="L36" s="55"/>
      <c r="M36" s="72"/>
      <c r="N36" s="114" t="s">
        <v>91</v>
      </c>
      <c r="O36" s="142">
        <f>O11</f>
        <v>47.1875</v>
      </c>
      <c r="P36" s="50" t="s">
        <v>153</v>
      </c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8.75" customHeight="1" thickTop="1" thickBot="1" x14ac:dyDescent="0.25">
      <c r="A37" s="231"/>
      <c r="B37" s="22"/>
      <c r="C37" s="22"/>
      <c r="D37" s="22"/>
      <c r="E37" s="22"/>
      <c r="F37" s="199"/>
      <c r="G37" s="23"/>
      <c r="H37" s="104">
        <f>IF(AND(M19&lt;&gt;"Can't Machine Cutout",O43&lt;=10),M17,IF(M19&gt;=M21,M18,IF(B41="ADA Compliant","0",)))</f>
        <v>4.875</v>
      </c>
      <c r="I37" s="103" t="s">
        <v>90</v>
      </c>
      <c r="J37" s="10"/>
      <c r="K37" s="18"/>
      <c r="L37" s="71"/>
      <c r="M37" s="72"/>
      <c r="N37" s="114" t="s">
        <v>92</v>
      </c>
      <c r="O37" s="111">
        <f>O14</f>
        <v>47.375</v>
      </c>
      <c r="P37" s="50" t="s">
        <v>159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0.25" customHeight="1" thickTop="1" x14ac:dyDescent="0.25">
      <c r="A38" s="233" t="s">
        <v>123</v>
      </c>
      <c r="B38" s="289" t="s">
        <v>111</v>
      </c>
      <c r="C38" s="290"/>
      <c r="D38" s="241" t="s">
        <v>24</v>
      </c>
      <c r="E38" s="242"/>
      <c r="F38" s="172"/>
      <c r="G38" s="23"/>
      <c r="H38" s="68" t="str">
        <f>IF(H37&gt;0,TEXT(H37,"0"&amp;IF(ABS(H37-ROUND(H37,0))&gt;1/64," 0/"&amp;CHOOSE(MATCH(MIN(ABS(ROUND(H37*{2,4,8,16,32},0)-H37*{2,4,8,16,32})/{2,4,8,16,32}),ABS(ROUND(H37*{2,4,8,16,32},0)-H37*{2,4,8,16,32})/{2,4,8,16,32},0),2,4,8,16,32),""))&amp;"""","")</f>
        <v>4 7/8"</v>
      </c>
      <c r="I38" s="50" t="s">
        <v>134</v>
      </c>
      <c r="J38" s="10"/>
      <c r="K38" s="10"/>
      <c r="L38" s="105"/>
      <c r="M38" s="72"/>
      <c r="N38" s="114" t="s">
        <v>93</v>
      </c>
      <c r="O38" s="111">
        <f>M32-M34</f>
        <v>47.875</v>
      </c>
      <c r="P38" s="50" t="s">
        <v>122</v>
      </c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21" customHeight="1" thickBot="1" x14ac:dyDescent="0.3">
      <c r="A39" s="166"/>
      <c r="B39" s="253" t="str">
        <f>IF(OR(D34&lt;1,D34&gt;4)," Lite Kit Selection - Bad Number",IF(AND(M32&gt;=2,D34=1),P32,IF(AND(M32&gt;=2,D34=2),P33,IF(AND(M32&gt;=2,D34=3),P34,IF(AND(M32&gt;=2,D34=4),P35,"Lite Kit Too Low on Door")))))</f>
        <v>Air Louvers / Anemostat - Visible Lite AFF</v>
      </c>
      <c r="C39" s="254"/>
      <c r="D39" s="26" t="str">
        <f>IF(AND(D34&gt;=1,D34&lt;=3),IF(B39="Lite Kit Too Low on Door","","="),"")</f>
        <v>=</v>
      </c>
      <c r="E39" s="27">
        <f>IF(M1-M5&lt;2,"Can't Machine Cutout", IF(M1-M5&gt;=2,O42,""))</f>
        <v>48.875</v>
      </c>
      <c r="F39" s="173"/>
      <c r="G39" s="23"/>
      <c r="H39" s="106">
        <f>IF(M1-M5&lt;2,"",O42)</f>
        <v>48.875</v>
      </c>
      <c r="I39" s="103" t="s">
        <v>94</v>
      </c>
      <c r="J39" s="10"/>
      <c r="K39" s="18"/>
      <c r="L39" s="55"/>
      <c r="M39" s="72"/>
      <c r="N39" s="114" t="s">
        <v>95</v>
      </c>
      <c r="O39" s="142">
        <f>O19</f>
        <v>47.875</v>
      </c>
      <c r="P39" s="101" t="s">
        <v>152</v>
      </c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6" hidden="1" customHeight="1" thickTop="1" x14ac:dyDescent="0.2">
      <c r="A40" s="167"/>
      <c r="B40" s="32"/>
      <c r="C40" s="33"/>
      <c r="D40" s="34"/>
      <c r="E40" s="35"/>
      <c r="F40" s="174" t="str">
        <f>IF(OR(E39="Can't Machine Cutout",E39=""),"",IF(B41="","","(43"" Max Height)"))</f>
        <v>(43" Max Height)</v>
      </c>
      <c r="G40" s="23"/>
      <c r="H40" s="62"/>
      <c r="I40" s="18"/>
      <c r="J40" s="18"/>
      <c r="K40" s="18"/>
      <c r="L40" s="55"/>
      <c r="M40" s="91"/>
      <c r="N40" s="114"/>
      <c r="O40" s="11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9.5" thickTop="1" thickBot="1" x14ac:dyDescent="0.25">
      <c r="A41" s="168"/>
      <c r="B41" s="28" t="str">
        <f>IF(OR(D34&lt;1,D34&gt;4),"",IF(AND(O42&gt;=O21,O42&lt;=M21),"ADA Compliant",IF(AND(M1-M5&gt;=2,O42&gt;M21),"Non ADA  - Too High by","")))</f>
        <v>Non ADA  - Too High by</v>
      </c>
      <c r="C41" s="29" t="str">
        <f>IF(OR(B41="",B41="ADA Compliant"),"",TEXT(H41,"0" &amp;IF(ABS(H41-ROUND(H41,0))&gt;1/64, " 0/"&amp;CHOOSE(MATCH(MIN(ABS(ROUND(H41*{2,4,8,16,32},0)-H41*{2,4,8,16,32})/{2,4,8,16,32}),ABS(ROUND(H41*{2,4,8,16,32},0)-H41*{2,4,8,16,32})/{2,4,8,16,32},0),2,4,8,16,32),""))&amp;"""")</f>
        <v>5 7/8"</v>
      </c>
      <c r="D41" s="30" t="str">
        <f>IF(AND(D34&gt;=1,D34&lt;=3),IF(E39="Can't Machine Cutout","","or"),"")</f>
        <v>or</v>
      </c>
      <c r="E41" s="31" t="str">
        <f>IF(OR(D34&lt;1,D34&gt;4),"",IF(E39="Can't Machine Cutout","",TEXT(E39,"0" &amp;IF(ABS(E39-ROUND(E39,0))&gt;1/64, " 0/"&amp;CHOOSE(MATCH(MIN(ABS(ROUND(E39*{2,4,8,16,32},0)-E39*{2,4,8,16,32})/{2,4,8,16,32}),ABS(ROUND(E39*{2,4,8,16,32},0)-E39*{2,4,8,16,32})/{2,4,8,16,32},0),2,4,8,16,32),""))&amp;""""))</f>
        <v>48 7/8"</v>
      </c>
      <c r="F41" s="200"/>
      <c r="G41" s="23"/>
      <c r="H41" s="106">
        <f>IF(M5&lt;2,"",O42-M21)</f>
        <v>5.875</v>
      </c>
      <c r="I41" s="18"/>
      <c r="J41" s="18"/>
      <c r="K41" s="18"/>
      <c r="L41" s="55"/>
      <c r="M41" s="102">
        <f>IF(D34=1,M32-M33,IF(D34=2,M32-M34,IF(D34=3,M32,"")))</f>
        <v>47.875</v>
      </c>
      <c r="N41" s="114" t="s">
        <v>97</v>
      </c>
      <c r="O41" s="11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9.5" customHeight="1" thickTop="1" thickBot="1" x14ac:dyDescent="0.3">
      <c r="A42" s="169"/>
      <c r="B42" s="22"/>
      <c r="C42" s="22"/>
      <c r="D42" s="22"/>
      <c r="E42" s="22"/>
      <c r="F42" s="199"/>
      <c r="G42" s="187"/>
      <c r="H42" s="18"/>
      <c r="I42" s="18"/>
      <c r="J42" s="101" t="s">
        <v>130</v>
      </c>
      <c r="K42" s="107"/>
      <c r="L42" s="107"/>
      <c r="M42" s="108">
        <f>A46</f>
        <v>0.5</v>
      </c>
      <c r="N42" s="112" t="s">
        <v>121</v>
      </c>
      <c r="O42" s="143">
        <f>IF(D34=1,O10,IF(D34=2,O13,IF(D34=3,O15,IF(D34=4,O18,""))))</f>
        <v>48.875</v>
      </c>
      <c r="P42" s="88" t="s">
        <v>162</v>
      </c>
      <c r="Q42" s="88"/>
      <c r="R42" s="88"/>
      <c r="S42" s="88"/>
      <c r="T42" s="18"/>
      <c r="U42" s="18"/>
      <c r="V42" s="18"/>
      <c r="W42" s="18"/>
      <c r="X42" s="18"/>
      <c r="Y42" s="18"/>
      <c r="Z42" s="18"/>
    </row>
    <row r="43" spans="1:26" ht="19.5" customHeight="1" thickTop="1" x14ac:dyDescent="0.25">
      <c r="A43" s="170"/>
      <c r="B43" s="287" t="s">
        <v>110</v>
      </c>
      <c r="C43" s="288"/>
      <c r="D43" s="239" t="s">
        <v>24</v>
      </c>
      <c r="E43" s="240"/>
      <c r="F43" s="175"/>
      <c r="G43" s="23"/>
      <c r="H43" s="18"/>
      <c r="I43" s="18"/>
      <c r="J43" s="45" t="s">
        <v>125</v>
      </c>
      <c r="K43" s="18"/>
      <c r="L43" s="55"/>
      <c r="M43" s="52">
        <f>A35</f>
        <v>0.375</v>
      </c>
      <c r="N43" s="144" t="s">
        <v>126</v>
      </c>
      <c r="O43" s="145">
        <f>IF(D34=1,O36,IF(D34=2,O37,IF(D34=3,O38,IF(D34=4,O39,""))))</f>
        <v>47.1875</v>
      </c>
      <c r="P43" s="67" t="s">
        <v>161</v>
      </c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22.5" customHeight="1" x14ac:dyDescent="0.25">
      <c r="A44" s="247"/>
      <c r="B44" s="255" t="str">
        <f>IF(OR(D34&lt;1,D34&gt;4),"Lite Kit Selection - Bad Number",IF(M32&lt;2,"Lite Kit Too Low on Door",IF(M32&gt;=2,IF(AND(M32&gt;=2,D34=1),P36,IF(AND(M32&gt;=2,D34=2),P37,IF(AND(M32&gt;=2,D34=3),P38,IF(AND(M32&gt;=2,D34=4),P39,"")))))))</f>
        <v>Air Louvers / Anem. - Smooth Height AFF</v>
      </c>
      <c r="C44" s="256"/>
      <c r="D44" s="36" t="str">
        <f>IF(AND(D34&gt;=1,D34&lt;=3),IF(B44="Lite Kit Too Low on Door","","="),"")</f>
        <v>=</v>
      </c>
      <c r="E44" s="37">
        <f>IF(M1-M5&lt;2,"Can't Machine Cutout",IF(M1-M5&gt;=2,O43,""))</f>
        <v>47.1875</v>
      </c>
      <c r="F44" s="176"/>
      <c r="G44" s="23"/>
      <c r="H44" s="18"/>
      <c r="I44" s="45" t="s">
        <v>127</v>
      </c>
      <c r="J44" s="18"/>
      <c r="K44" s="52"/>
      <c r="L44" s="55"/>
      <c r="M44" s="89"/>
      <c r="N44" s="144"/>
      <c r="O44" s="111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6.75" customHeight="1" thickBot="1" x14ac:dyDescent="0.3">
      <c r="A45" s="247"/>
      <c r="B45" s="203"/>
      <c r="C45" s="204"/>
      <c r="D45" s="41"/>
      <c r="E45" s="42"/>
      <c r="F45" s="177"/>
      <c r="G45" s="23"/>
      <c r="H45" s="18"/>
      <c r="I45" s="18"/>
      <c r="J45" s="18"/>
      <c r="K45" s="46"/>
      <c r="L45" s="55"/>
      <c r="M45" s="52"/>
      <c r="N45" s="144"/>
      <c r="O45" s="111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9.5" customHeight="1" thickTop="1" thickBot="1" x14ac:dyDescent="0.25">
      <c r="A46" s="165">
        <v>0.5</v>
      </c>
      <c r="B46" s="28" t="str">
        <f>IF(OR(D34&lt;1,D34&gt;4),"",IF(C41&lt;&gt;"","",IF(AND(M1-M5&gt;=2,O43&gt;=O21),"ADA Compliant",IF(AND(M1-M5&gt;=2,O43&lt;10),"Non ADA  - Too Low by",""))))</f>
        <v/>
      </c>
      <c r="C46" s="38" t="str">
        <f>IF(OR(B46="",B46="ADA Compliant"),"",TEXT(H46,"0" &amp;IF(ABS(H46-ROUND(H46,0))&gt;1/64, " 0/"&amp;CHOOSE(MATCH(MIN(ABS(ROUND(H46*{2,4,8,16,32},0)-H46*{2,4,8,16,32})/{2,4,8,16,32}),ABS(ROUND(H46*{2,4,8,16,32},0)-H46*{2,4,8,16,32})/{2,4,8,16,32},0),2,4,8,16,32),""))&amp;"""")</f>
        <v/>
      </c>
      <c r="D46" s="39" t="str">
        <f>IF(AND(D34&gt;=1,D34&lt;=3),IF(E44="Can't Machine Cutout","","or"),"")</f>
        <v>or</v>
      </c>
      <c r="E46" s="40" t="str">
        <f>IF(OR(D34&lt;1,D34&gt;4),"",IF(E44="Can't Machine Cutout","",TEXT(E44,"0" &amp;IF(ABS(E44-ROUND(E44,0))&gt;1/64, " 0/"&amp;CHOOSE(MATCH(MIN(ABS(ROUND(E44*{2,4,8,16,32},0)-E44*{2,4,8,16,32})/{2,4,8,16,32}),ABS(ROUND(E44*{2,4,8,16,32},0)-E44*{2,4,8,16,32})/{2,4,8,16,32},0),2,4,8,16,32),""))&amp;""""))</f>
        <v>47 3/16"</v>
      </c>
      <c r="F46" s="178" t="str">
        <f>IF(OR(E44="Can't Machine Cutout",E44=""),"",IF(B46="","","(Need 10"" min.)"))</f>
        <v/>
      </c>
      <c r="G46" s="23"/>
      <c r="H46" s="109">
        <f>IF(AND(M5&lt;2,O21-O43&lt;=0),"",O21-O43)</f>
        <v>-37.1875</v>
      </c>
      <c r="I46" s="45" t="s">
        <v>128</v>
      </c>
      <c r="J46" s="18"/>
      <c r="K46" s="52"/>
      <c r="L46" s="55"/>
      <c r="M46" s="89"/>
      <c r="N46" s="146" t="s">
        <v>164</v>
      </c>
      <c r="O46" s="111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9.5" customHeight="1" thickTop="1" thickBot="1" x14ac:dyDescent="0.25">
      <c r="A47" s="201" t="str">
        <f>IF(D34=4,"Enter Dimension","")</f>
        <v/>
      </c>
      <c r="B47" s="202"/>
      <c r="C47" s="22"/>
      <c r="D47" s="22"/>
      <c r="E47" s="22"/>
      <c r="F47" s="199"/>
      <c r="G47" s="188"/>
      <c r="H47" s="18"/>
      <c r="I47" s="45" t="s">
        <v>131</v>
      </c>
      <c r="J47" s="18"/>
      <c r="K47" s="46"/>
      <c r="L47" s="55"/>
      <c r="M47" s="89"/>
      <c r="N47" s="146" t="s">
        <v>184</v>
      </c>
      <c r="O47" s="111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9.5" customHeight="1" thickBot="1" x14ac:dyDescent="0.25">
      <c r="A48" s="234" t="s">
        <v>186</v>
      </c>
      <c r="B48" s="235"/>
      <c r="C48" s="235"/>
      <c r="D48" s="235"/>
      <c r="E48" s="235"/>
      <c r="F48" s="236"/>
      <c r="G48" s="179"/>
      <c r="H48" s="18"/>
      <c r="I48" s="45" t="s">
        <v>132</v>
      </c>
      <c r="J48" s="18"/>
      <c r="K48" s="46"/>
      <c r="L48" s="55"/>
      <c r="M48" s="89"/>
      <c r="N48" s="144"/>
      <c r="O48" s="111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thickTop="1" x14ac:dyDescent="0.2">
      <c r="A49" s="43"/>
      <c r="B49" s="18"/>
      <c r="C49" s="18"/>
      <c r="D49" s="18"/>
      <c r="E49" s="18"/>
      <c r="F49" s="47"/>
      <c r="G49" s="18"/>
      <c r="H49" s="18"/>
      <c r="I49" s="45" t="s">
        <v>136</v>
      </c>
      <c r="J49" s="18"/>
      <c r="K49" s="46"/>
      <c r="L49" s="55"/>
      <c r="M49" s="89"/>
      <c r="N49" s="144"/>
      <c r="O49" s="111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2">
      <c r="A50" s="10"/>
      <c r="B50" s="18"/>
      <c r="C50" s="10"/>
      <c r="D50" s="18"/>
      <c r="E50" s="18"/>
      <c r="F50" s="18"/>
      <c r="G50" s="18"/>
      <c r="H50" s="18"/>
      <c r="I50" s="48" t="s">
        <v>176</v>
      </c>
      <c r="J50" s="49" t="s">
        <v>177</v>
      </c>
      <c r="K50" s="18"/>
      <c r="L50" s="55"/>
      <c r="M50" s="89"/>
      <c r="N50" s="144"/>
      <c r="O50" s="111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2">
      <c r="A51" s="10"/>
      <c r="B51" s="50"/>
      <c r="C51" s="18"/>
      <c r="D51" s="44"/>
      <c r="E51" s="18"/>
      <c r="F51" s="18"/>
      <c r="G51" s="18"/>
      <c r="H51" s="18"/>
      <c r="I51" s="51" t="s">
        <v>165</v>
      </c>
      <c r="J51" s="52">
        <v>5</v>
      </c>
      <c r="K51" s="51" t="s">
        <v>166</v>
      </c>
      <c r="L51" s="54"/>
      <c r="M51" s="89"/>
      <c r="N51" s="144"/>
      <c r="O51" s="147" t="s">
        <v>175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2">
      <c r="A52" s="10"/>
      <c r="B52" s="45"/>
      <c r="C52" s="18"/>
      <c r="D52" s="18"/>
      <c r="E52" s="18"/>
      <c r="F52" s="45" t="s">
        <v>160</v>
      </c>
      <c r="G52" s="18"/>
      <c r="H52" s="18"/>
      <c r="I52" s="53" t="s">
        <v>167</v>
      </c>
      <c r="J52" s="52">
        <v>4</v>
      </c>
      <c r="K52" s="51" t="s">
        <v>168</v>
      </c>
      <c r="L52" s="54"/>
      <c r="M52" s="89"/>
      <c r="N52" s="144"/>
      <c r="O52" s="111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2">
      <c r="A53" s="160"/>
      <c r="G53" s="196"/>
      <c r="I53" s="195" t="s">
        <v>169</v>
      </c>
      <c r="J53" s="197">
        <v>2.125</v>
      </c>
      <c r="K53" s="195" t="s">
        <v>170</v>
      </c>
      <c r="L53" s="161"/>
    </row>
    <row r="54" spans="1:26" x14ac:dyDescent="0.2">
      <c r="G54" s="196"/>
      <c r="I54" s="195" t="s">
        <v>171</v>
      </c>
      <c r="J54" s="194">
        <v>5</v>
      </c>
      <c r="K54" s="195" t="s">
        <v>172</v>
      </c>
      <c r="L54" s="161"/>
    </row>
    <row r="55" spans="1:26" x14ac:dyDescent="0.2">
      <c r="I55" s="193" t="s">
        <v>173</v>
      </c>
      <c r="J55" s="161"/>
      <c r="K55" s="7"/>
      <c r="L55" s="161"/>
    </row>
    <row r="56" spans="1:26" x14ac:dyDescent="0.2">
      <c r="I56" s="193"/>
      <c r="J56" s="161"/>
      <c r="K56" s="7"/>
      <c r="L56" s="161"/>
    </row>
    <row r="57" spans="1:26" x14ac:dyDescent="0.2">
      <c r="I57" s="7"/>
      <c r="J57" s="161"/>
      <c r="K57" s="7"/>
      <c r="L57" s="161"/>
    </row>
    <row r="59" spans="1:26" x14ac:dyDescent="0.2">
      <c r="I59" s="191" t="s">
        <v>73</v>
      </c>
    </row>
    <row r="60" spans="1:26" x14ac:dyDescent="0.2">
      <c r="I60" s="192" t="s">
        <v>28</v>
      </c>
    </row>
    <row r="61" spans="1:26" x14ac:dyDescent="0.2">
      <c r="I61" s="237" t="s">
        <v>119</v>
      </c>
      <c r="J61" s="238"/>
      <c r="K61" s="238"/>
    </row>
    <row r="62" spans="1:26" x14ac:dyDescent="0.2">
      <c r="I62" s="191" t="s">
        <v>26</v>
      </c>
    </row>
    <row r="63" spans="1:26" x14ac:dyDescent="0.2">
      <c r="I63" s="192" t="s">
        <v>27</v>
      </c>
    </row>
    <row r="64" spans="1:26" x14ac:dyDescent="0.2">
      <c r="I64" s="192" t="s">
        <v>28</v>
      </c>
    </row>
    <row r="65" spans="9:9" x14ac:dyDescent="0.2">
      <c r="I65" s="7" t="s">
        <v>70</v>
      </c>
    </row>
  </sheetData>
  <sheetProtection password="AD7D" sheet="1" objects="1" scenarios="1" selectLockedCells="1"/>
  <protectedRanges>
    <protectedRange sqref="C6 C7 C8 C9 C10 C11 C14 C15 C18 C19 A12 D34 A46" name="Range1"/>
  </protectedRanges>
  <mergeCells count="39">
    <mergeCell ref="E1:E2"/>
    <mergeCell ref="E30:F31"/>
    <mergeCell ref="D30:D31"/>
    <mergeCell ref="D29:E29"/>
    <mergeCell ref="B30:C31"/>
    <mergeCell ref="B29:C29"/>
    <mergeCell ref="B3:E3"/>
    <mergeCell ref="D5:E5"/>
    <mergeCell ref="B23:C23"/>
    <mergeCell ref="D24:E24"/>
    <mergeCell ref="E25:F26"/>
    <mergeCell ref="B24:C24"/>
    <mergeCell ref="B4:E4"/>
    <mergeCell ref="A20:A22"/>
    <mergeCell ref="A16:A18"/>
    <mergeCell ref="A12:A13"/>
    <mergeCell ref="A24:A25"/>
    <mergeCell ref="B43:C43"/>
    <mergeCell ref="B38:C38"/>
    <mergeCell ref="A1:A3"/>
    <mergeCell ref="A14:A15"/>
    <mergeCell ref="B1:B2"/>
    <mergeCell ref="C1:C2"/>
    <mergeCell ref="D1:D2"/>
    <mergeCell ref="A48:F48"/>
    <mergeCell ref="I61:K61"/>
    <mergeCell ref="D43:E43"/>
    <mergeCell ref="D38:E38"/>
    <mergeCell ref="J25:L25"/>
    <mergeCell ref="J32:L32"/>
    <mergeCell ref="A44:A45"/>
    <mergeCell ref="B34:C34"/>
    <mergeCell ref="B35:F35"/>
    <mergeCell ref="B39:C39"/>
    <mergeCell ref="B44:C44"/>
    <mergeCell ref="E34:F34"/>
    <mergeCell ref="B36:C36"/>
    <mergeCell ref="B25:C26"/>
    <mergeCell ref="D25:D26"/>
  </mergeCells>
  <conditionalFormatting sqref="D33">
    <cfRule type="containsText" dxfId="38" priority="115" operator="containsText" text="Enter Wood Kit Dimensions">
      <formula>NOT(ISERROR(SEARCH("Enter Wood Kit Dimensions",D33)))</formula>
    </cfRule>
  </conditionalFormatting>
  <conditionalFormatting sqref="A36">
    <cfRule type="cellIs" dxfId="37" priority="104" operator="equal">
      <formula>"enter dimensions"</formula>
    </cfRule>
  </conditionalFormatting>
  <conditionalFormatting sqref="A44:A45">
    <cfRule type="cellIs" dxfId="36" priority="103" operator="equal">
      <formula>" enter dimension"</formula>
    </cfRule>
  </conditionalFormatting>
  <conditionalFormatting sqref="A46">
    <cfRule type="expression" dxfId="35" priority="97">
      <formula>(D34=4)</formula>
    </cfRule>
  </conditionalFormatting>
  <conditionalFormatting sqref="A35">
    <cfRule type="expression" dxfId="34" priority="95">
      <formula>(D34=3)</formula>
    </cfRule>
  </conditionalFormatting>
  <conditionalFormatting sqref="A34">
    <cfRule type="expression" dxfId="33" priority="82">
      <formula>(D34=3)</formula>
    </cfRule>
  </conditionalFormatting>
  <conditionalFormatting sqref="E44">
    <cfRule type="cellIs" dxfId="32" priority="80" operator="equal">
      <formula>"Can't Machine Cutout"</formula>
    </cfRule>
  </conditionalFormatting>
  <conditionalFormatting sqref="E36">
    <cfRule type="expression" dxfId="31" priority="44">
      <formula>(D34&gt;4)</formula>
    </cfRule>
    <cfRule type="expression" dxfId="30" priority="48">
      <formula>(D34&lt;1)</formula>
    </cfRule>
  </conditionalFormatting>
  <conditionalFormatting sqref="D36">
    <cfRule type="expression" dxfId="29" priority="45">
      <formula>(D34&gt;4)</formula>
    </cfRule>
    <cfRule type="expression" dxfId="28" priority="47">
      <formula>(D34&lt;1)</formula>
    </cfRule>
  </conditionalFormatting>
  <conditionalFormatting sqref="F36">
    <cfRule type="expression" dxfId="27" priority="43">
      <formula>(D34&gt;4)</formula>
    </cfRule>
    <cfRule type="expression" dxfId="26" priority="46">
      <formula>(D34&lt;1)</formula>
    </cfRule>
  </conditionalFormatting>
  <conditionalFormatting sqref="E34:F34">
    <cfRule type="expression" dxfId="25" priority="41">
      <formula>(D34&gt;4)</formula>
    </cfRule>
    <cfRule type="expression" dxfId="24" priority="42">
      <formula>(D34&lt;1)</formula>
    </cfRule>
  </conditionalFormatting>
  <conditionalFormatting sqref="A16">
    <cfRule type="cellIs" dxfId="23" priority="32" operator="equal">
      <formula>"GOOD     "</formula>
    </cfRule>
    <cfRule type="cellIs" dxfId="22" priority="33" operator="equal">
      <formula>"TOO CLOSE"</formula>
    </cfRule>
  </conditionalFormatting>
  <conditionalFormatting sqref="A20">
    <cfRule type="cellIs" dxfId="21" priority="29" operator="equal">
      <formula>"GOOD     "</formula>
    </cfRule>
    <cfRule type="cellIs" dxfId="20" priority="31" operator="equal">
      <formula>"TOO CLOSE"</formula>
    </cfRule>
  </conditionalFormatting>
  <conditionalFormatting sqref="A14">
    <cfRule type="expression" dxfId="19" priority="15">
      <formula>(A12=0)</formula>
    </cfRule>
  </conditionalFormatting>
  <conditionalFormatting sqref="F46">
    <cfRule type="expression" dxfId="18" priority="116">
      <formula>(C46&lt;&gt;"")</formula>
    </cfRule>
  </conditionalFormatting>
  <conditionalFormatting sqref="E39">
    <cfRule type="expression" dxfId="17" priority="125">
      <formula>(C41&lt;&gt;"")</formula>
    </cfRule>
    <cfRule type="cellIs" dxfId="16" priority="126" operator="equal">
      <formula>"Can't Machine Cutout"</formula>
    </cfRule>
  </conditionalFormatting>
  <conditionalFormatting sqref="F40">
    <cfRule type="expression" dxfId="15" priority="127">
      <formula>(C41&lt;&gt;"")</formula>
    </cfRule>
  </conditionalFormatting>
  <conditionalFormatting sqref="E41">
    <cfRule type="expression" dxfId="14" priority="128">
      <formula>(C41&lt;&gt;"")</formula>
    </cfRule>
  </conditionalFormatting>
  <conditionalFormatting sqref="A24:A25">
    <cfRule type="cellIs" dxfId="13" priority="14" operator="equal">
      <formula>"enter info below"</formula>
    </cfRule>
  </conditionalFormatting>
  <conditionalFormatting sqref="A51">
    <cfRule type="cellIs" dxfId="12" priority="13" operator="equal">
      <formula>"enter dimension"</formula>
    </cfRule>
  </conditionalFormatting>
  <conditionalFormatting sqref="A47">
    <cfRule type="cellIs" dxfId="11" priority="12" operator="equal">
      <formula>"enter dimension"</formula>
    </cfRule>
  </conditionalFormatting>
  <conditionalFormatting sqref="A8">
    <cfRule type="expression" dxfId="10" priority="11">
      <formula>(A12=1)</formula>
    </cfRule>
  </conditionalFormatting>
  <conditionalFormatting sqref="A9">
    <cfRule type="expression" dxfId="9" priority="10">
      <formula>(A12=2)</formula>
    </cfRule>
  </conditionalFormatting>
  <conditionalFormatting sqref="A14:A15">
    <cfRule type="expression" dxfId="8" priority="9">
      <formula>(A12=2)</formula>
    </cfRule>
    <cfRule type="expression" dxfId="7" priority="8">
      <formula>(A12=1)</formula>
    </cfRule>
    <cfRule type="expression" dxfId="6" priority="6">
      <formula>(A12=3)</formula>
    </cfRule>
    <cfRule type="expression" dxfId="5" priority="4">
      <formula>(A12=4)</formula>
    </cfRule>
  </conditionalFormatting>
  <conditionalFormatting sqref="A10">
    <cfRule type="expression" dxfId="4" priority="7">
      <formula>(A12=3)</formula>
    </cfRule>
  </conditionalFormatting>
  <conditionalFormatting sqref="A11">
    <cfRule type="expression" dxfId="3" priority="5">
      <formula>(A12=4)</formula>
    </cfRule>
  </conditionalFormatting>
  <conditionalFormatting sqref="A7">
    <cfRule type="expression" dxfId="2" priority="3">
      <formula>(A12=0)</formula>
    </cfRule>
  </conditionalFormatting>
  <conditionalFormatting sqref="B36:C36">
    <cfRule type="expression" dxfId="1" priority="2">
      <formula>(D34=4)</formula>
    </cfRule>
    <cfRule type="expression" dxfId="0" priority="1">
      <formula>(D34=3)</formula>
    </cfRule>
  </conditionalFormatting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Calculator, Lock bore to Cutout</vt:lpstr>
      <vt:lpstr>Chart1</vt:lpstr>
      <vt:lpstr>'Calculator, Lock bore to Cutout'!Print_Area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rogern</cp:lastModifiedBy>
  <cp:lastPrinted>2018-08-08T16:15:09Z</cp:lastPrinted>
  <dcterms:created xsi:type="dcterms:W3CDTF">2018-06-30T23:50:17Z</dcterms:created>
  <dcterms:modified xsi:type="dcterms:W3CDTF">2018-08-08T17:52:08Z</dcterms:modified>
</cp:coreProperties>
</file>